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lobalcreditdata.sharepoint.com/sites/GCDDocumentRepository/20Value Added Services  Projects/50.Analytics/2026 Aircraft Haircut Paper/"/>
    </mc:Choice>
  </mc:AlternateContent>
  <xr:revisionPtr revIDLastSave="323" documentId="8_{602B34BF-5A99-489E-ADBD-73C3E709DD7B}" xr6:coauthVersionLast="47" xr6:coauthVersionMax="47" xr10:uidLastSave="{2A6ABE8B-52C8-4F93-8B95-7DBD39D35C70}"/>
  <bookViews>
    <workbookView xWindow="11148" yWindow="-17388" windowWidth="30936" windowHeight="16776" activeTab="2" xr2:uid="{E23A73A6-95C2-4EED-B98F-12B29EC46BBB}"/>
  </bookViews>
  <sheets>
    <sheet name="Front Page" sheetId="16" r:id="rId1"/>
    <sheet name="Field Descriptions" sheetId="18" r:id="rId2"/>
    <sheet name="Restructuring" sheetId="8" r:id="rId3"/>
    <sheet name="Consensual Sale" sheetId="14" r:id="rId4"/>
    <sheet name="Enforcement Led Collateral Sale" sheetId="13" r:id="rId5"/>
    <sheet name="Loan Sale" sheetId="15" r:id="rId6"/>
    <sheet name="LGD Comparison" sheetId="1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8" l="1"/>
  <c r="H4" i="14" l="1"/>
  <c r="H5" i="14"/>
  <c r="H6" i="14"/>
  <c r="H7" i="14"/>
  <c r="H8" i="14"/>
  <c r="I15" i="14"/>
  <c r="I14" i="14"/>
  <c r="A11" i="19"/>
  <c r="A12" i="19"/>
  <c r="A13" i="19"/>
  <c r="A14" i="19"/>
  <c r="A15" i="19"/>
  <c r="A16" i="19"/>
  <c r="A17" i="19"/>
  <c r="H16" i="13"/>
  <c r="H15" i="13"/>
  <c r="C16" i="13"/>
  <c r="E3" i="13" l="1"/>
  <c r="H3" i="13" s="1"/>
  <c r="C15" i="8"/>
  <c r="R4" i="8"/>
  <c r="R5" i="8"/>
  <c r="R6" i="8"/>
  <c r="R7" i="8"/>
  <c r="R8" i="8"/>
  <c r="R9" i="8"/>
  <c r="R10" i="8"/>
  <c r="R3" i="8"/>
  <c r="A4" i="19"/>
  <c r="B11" i="19" s="1"/>
  <c r="I8" i="15"/>
  <c r="J13" i="15" s="1"/>
  <c r="L10" i="13"/>
  <c r="D9" i="14"/>
  <c r="C13" i="15"/>
  <c r="C12" i="15"/>
  <c r="J14" i="15"/>
  <c r="J15" i="15"/>
  <c r="E7" i="15"/>
  <c r="E6" i="15"/>
  <c r="E5" i="15"/>
  <c r="E4" i="15"/>
  <c r="E3" i="15"/>
  <c r="C14" i="13"/>
  <c r="C15" i="13"/>
  <c r="C15" i="14"/>
  <c r="C14" i="14"/>
  <c r="C13" i="14"/>
  <c r="C14" i="8"/>
  <c r="D8" i="8"/>
  <c r="I16" i="14"/>
  <c r="E8" i="14"/>
  <c r="G8" i="14" s="1"/>
  <c r="E7" i="14"/>
  <c r="G7" i="14" s="1"/>
  <c r="E6" i="14"/>
  <c r="G6" i="14" s="1"/>
  <c r="E5" i="14"/>
  <c r="G5" i="14" s="1"/>
  <c r="E4" i="14"/>
  <c r="G4" i="14" s="1"/>
  <c r="E3" i="14"/>
  <c r="H17" i="13"/>
  <c r="E9" i="13"/>
  <c r="E8" i="13"/>
  <c r="E7" i="13"/>
  <c r="E6" i="13"/>
  <c r="E5" i="13"/>
  <c r="E4" i="13"/>
  <c r="G3" i="13"/>
  <c r="I16" i="8"/>
  <c r="E4" i="8"/>
  <c r="E5" i="8"/>
  <c r="E6" i="8"/>
  <c r="E7" i="8"/>
  <c r="I17" i="8"/>
  <c r="G3" i="15" l="1"/>
  <c r="H3" i="15"/>
  <c r="G7" i="15"/>
  <c r="H7" i="15"/>
  <c r="G6" i="15"/>
  <c r="H6" i="15"/>
  <c r="G4" i="15"/>
  <c r="H4" i="15"/>
  <c r="G5" i="15"/>
  <c r="H5" i="15"/>
  <c r="G9" i="13"/>
  <c r="H9" i="13"/>
  <c r="G6" i="13"/>
  <c r="H6" i="13"/>
  <c r="G8" i="13"/>
  <c r="H8" i="13"/>
  <c r="G7" i="13"/>
  <c r="H7" i="13"/>
  <c r="G4" i="13"/>
  <c r="H4" i="13"/>
  <c r="G5" i="13"/>
  <c r="H5" i="13"/>
  <c r="G3" i="14"/>
  <c r="H3" i="14"/>
  <c r="G4" i="8"/>
  <c r="H4" i="8"/>
  <c r="G3" i="8"/>
  <c r="B4" i="19" s="1"/>
  <c r="B12" i="19" s="1"/>
  <c r="H3" i="8"/>
  <c r="G7" i="8"/>
  <c r="H7" i="8"/>
  <c r="G6" i="8"/>
  <c r="H6" i="8"/>
  <c r="G5" i="8"/>
  <c r="H5" i="8"/>
  <c r="E8" i="8"/>
  <c r="K8" i="15"/>
  <c r="D8" i="15"/>
  <c r="C4" i="19"/>
  <c r="B13" i="19" s="1"/>
  <c r="D9" i="8"/>
  <c r="J16" i="15"/>
  <c r="I17" i="14"/>
  <c r="E4" i="19" s="1"/>
  <c r="C15" i="19" s="1"/>
  <c r="H18" i="13"/>
  <c r="F4" i="19" s="1"/>
  <c r="C16" i="19" s="1"/>
  <c r="G4" i="19" l="1"/>
  <c r="C17" i="19" s="1"/>
  <c r="G8" i="8"/>
  <c r="H8" i="8"/>
  <c r="D10" i="8"/>
  <c r="E9" i="8"/>
  <c r="G9" i="8" l="1"/>
  <c r="H9" i="8"/>
  <c r="I15" i="8"/>
  <c r="I18" i="8" s="1"/>
  <c r="D4" i="19" s="1"/>
  <c r="C14" i="19" s="1"/>
  <c r="E10" i="8"/>
  <c r="G10" i="8" l="1"/>
  <c r="H10" i="8"/>
</calcChain>
</file>

<file path=xl/sharedStrings.xml><?xml version="1.0" encoding="utf-8"?>
<sst xmlns="http://schemas.openxmlformats.org/spreadsheetml/2006/main" count="205" uniqueCount="83">
  <si>
    <t>Default</t>
  </si>
  <si>
    <t>Date Period</t>
  </si>
  <si>
    <t>Collateral Value Estimation</t>
  </si>
  <si>
    <t>Event</t>
  </si>
  <si>
    <t>Origination</t>
  </si>
  <si>
    <t>Loan Sale</t>
  </si>
  <si>
    <t>Return to performing</t>
  </si>
  <si>
    <t>Collateral Sale</t>
  </si>
  <si>
    <t>Restructuring</t>
  </si>
  <si>
    <t>F-IRB LGDs for Other Eligible Physical Collateral</t>
  </si>
  <si>
    <t>F-IRB LGDu for Unsecured</t>
  </si>
  <si>
    <t>1 Year Prior to Default</t>
  </si>
  <si>
    <t>Parameter Value</t>
  </si>
  <si>
    <t>Calculation Parameter</t>
  </si>
  <si>
    <t>Haircut Calculation Methodology Options:</t>
  </si>
  <si>
    <t xml:space="preserve">Origination to Sale </t>
  </si>
  <si>
    <t xml:space="preserve">Market Value at Sale to Sale </t>
  </si>
  <si>
    <t>1 Year Prior to Default to Sale:</t>
  </si>
  <si>
    <t>N/A</t>
  </si>
  <si>
    <t>Realized LGD</t>
  </si>
  <si>
    <t>Realized LGD Calculation</t>
  </si>
  <si>
    <t>Discounting Rate</t>
  </si>
  <si>
    <t>EAD</t>
  </si>
  <si>
    <t xml:space="preserve">Discounted Total Interest Paid </t>
  </si>
  <si>
    <t xml:space="preserve">Probation period starts </t>
  </si>
  <si>
    <t>Discounted Principal Payments</t>
  </si>
  <si>
    <t>F-IRB LGD if CRR3 199(6)(d) is not met</t>
  </si>
  <si>
    <t>Discounted Collateral Sale Proceeds</t>
  </si>
  <si>
    <t>Collected Collateral Sale Proceeds</t>
  </si>
  <si>
    <t>Note:</t>
  </si>
  <si>
    <t>Based on market value</t>
  </si>
  <si>
    <t>Collected Loan Sale Proceeds at 95C per $</t>
  </si>
  <si>
    <t>Collected Interest</t>
  </si>
  <si>
    <t>Collected Principal</t>
  </si>
  <si>
    <t>GCD Discussion Paper on Collateral Haircut Calculation Methodologies</t>
  </si>
  <si>
    <t>Information Classification: Restricted</t>
  </si>
  <si>
    <t>Field</t>
  </si>
  <si>
    <t>Description</t>
  </si>
  <si>
    <t>Name of the event during loan's lifecycle</t>
  </si>
  <si>
    <t>Reporting Date</t>
  </si>
  <si>
    <t>Collateral value estimated by an external appraiser</t>
  </si>
  <si>
    <t>F-IRB LGD</t>
  </si>
  <si>
    <t>Estimated LGD using F-IRB</t>
  </si>
  <si>
    <t xml:space="preserve">Interest payments collected </t>
  </si>
  <si>
    <t xml:space="preserve">Responsible Analysts:   Nina Brumma (nina.brumma@globalcreditdata.org) </t>
  </si>
  <si>
    <t xml:space="preserve"> Artur Stypulkowski (artur.stypulkowski@globalcreditdata.org)</t>
  </si>
  <si>
    <t>Proceeds from loan sale assuming selling for 95% of the loan's book value.</t>
  </si>
  <si>
    <t>Write-off</t>
  </si>
  <si>
    <t>Field Descriptions</t>
  </si>
  <si>
    <t>No sale value available</t>
  </si>
  <si>
    <t>Market Value (External Appraiser)</t>
  </si>
  <si>
    <t>A-IRB LGD SL (7,5%)</t>
  </si>
  <si>
    <t>Loan Outstanding Amount</t>
  </si>
  <si>
    <t>Estimated LGD using A-IRB for Specialized Lending asset classes using 7.5% Parameter Floor for Other Eligible Physical Collateral</t>
  </si>
  <si>
    <t>Part of the outstanding which was written off</t>
  </si>
  <si>
    <t>Principal payments collected</t>
  </si>
  <si>
    <t>Regulatory prescribed F-IRB LGD applied if collateral is deemed not eligible, making a loan fully unsecured</t>
  </si>
  <si>
    <t>Discounted Loan Sale Proceeds</t>
  </si>
  <si>
    <t>Commentary:</t>
  </si>
  <si>
    <t>Estimated LGDs at Origination</t>
  </si>
  <si>
    <t>Realized LGDs</t>
  </si>
  <si>
    <t>Enforcement Led Collateral Sale</t>
  </si>
  <si>
    <t>40% Haircut applied to Market Value</t>
  </si>
  <si>
    <t>Consensual Collateral Sale</t>
  </si>
  <si>
    <t>LGD Type</t>
  </si>
  <si>
    <t>Estimated LGDs</t>
  </si>
  <si>
    <t>Based on market value. Given absence of Sale, Resolution (Return to Performing) date period is used.</t>
  </si>
  <si>
    <t>A-IRB Input Floor</t>
  </si>
  <si>
    <t xml:space="preserve">A-IRB LGDs Parameter Floor for Other Eligible Physical Collateral </t>
  </si>
  <si>
    <t>IRB Haircut for Other Eligible Physical Collateral</t>
  </si>
  <si>
    <t>A-IRB LGDu Parameter Parameter Floor for Unsecured</t>
  </si>
  <si>
    <t>Input floor calculated by using Collateral Coverage field and regulatory prescribed parameter floors for LGDs Other Eligible Physical Collateral (15%) and LGDu Unsecured (25%)</t>
  </si>
  <si>
    <t>Consensual Sale</t>
  </si>
  <si>
    <t xml:space="preserve">Our realistic aircraft finance example was crafted with the help of the GCD community, reflects a common 80% LTV at the origination and uses prescribed regulatory parameters and input floors. Realized LGD at the resolution is driven primarily by the EURIBOR + 5% discount rate, which is materially higher than typical loan margin applied by a bank to a typical specialized lending financing facility. </t>
  </si>
  <si>
    <t>Total outstanding on the loan</t>
  </si>
  <si>
    <t xml:space="preserve"> Collateral Sale Proceeds</t>
  </si>
  <si>
    <t>Line Chart Commentary:</t>
  </si>
  <si>
    <t>The loan amortizes on a broadly linear basis, while the externally appraised market value of the collateral also declines in a broadly linear pattern. Throughout the observation period, the collateral value remains comfortably above the outstanding loan balance, indicating sustained collateral coverage. The sharpest decline in market value occurs between 2019 and 2020, consistent with the impact of the Covid-19 crisis; however, even at that stress point, the collateral value remains well in excess of the loan outstanding.</t>
  </si>
  <si>
    <r>
      <t>Collateral Coverage
 A</t>
    </r>
    <r>
      <rPr>
        <b/>
        <sz val="10"/>
        <color theme="0"/>
        <rFont val="Aptos"/>
        <family val="2"/>
      </rPr>
      <t>fter Haircut</t>
    </r>
  </si>
  <si>
    <t>Collateral Coverage After Haircut</t>
  </si>
  <si>
    <t>Collateral coverage: Market Value of the collateral after regulatory prescribed 40% haircut divided by current loan outstanding. Displayed in percentage terms</t>
  </si>
  <si>
    <t>Realized proceeds from collateral sale collected by the bank</t>
  </si>
  <si>
    <t>Realized proceeds from collateral sale irrespective of the bank's loan outstanding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</si>
</sst>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_(* \(#,##0.0\);_(* &quot;-&quot;?_);_(@_)"/>
  </numFmts>
  <fonts count="16" x14ac:knownFonts="1">
    <font>
      <sz val="11"/>
      <color theme="1"/>
      <name val="Aptos Narrow"/>
      <family val="2"/>
      <scheme val="minor"/>
    </font>
    <font>
      <sz val="11"/>
      <color theme="1"/>
      <name val="Aptos Narrow"/>
      <family val="2"/>
      <scheme val="minor"/>
    </font>
    <font>
      <b/>
      <sz val="10"/>
      <color rgb="FFFFFFFF"/>
      <name val="Aptos"/>
      <family val="2"/>
    </font>
    <font>
      <sz val="10"/>
      <color rgb="FF1F1F1F"/>
      <name val="Aptos"/>
      <family val="2"/>
    </font>
    <font>
      <b/>
      <sz val="10"/>
      <color rgb="FF1F1F1F"/>
      <name val="Aptos"/>
      <family val="2"/>
    </font>
    <font>
      <b/>
      <sz val="11"/>
      <color theme="1"/>
      <name val="Aptos Narrow"/>
      <family val="2"/>
      <scheme val="minor"/>
    </font>
    <font>
      <sz val="10"/>
      <name val="Aptos"/>
      <family val="2"/>
    </font>
    <font>
      <b/>
      <sz val="11"/>
      <color theme="0"/>
      <name val="Aptos Narrow"/>
      <family val="2"/>
      <scheme val="minor"/>
    </font>
    <font>
      <sz val="10"/>
      <name val="Arial"/>
      <family val="2"/>
    </font>
    <font>
      <sz val="36"/>
      <color rgb="FF0887C6"/>
      <name val="Calibri"/>
      <family val="2"/>
    </font>
    <font>
      <sz val="24"/>
      <color rgb="FF0887C6"/>
      <name val="Calibri"/>
      <family val="2"/>
    </font>
    <font>
      <sz val="11"/>
      <color rgb="FF1F1F1F"/>
      <name val="Aptos Narrow"/>
      <family val="2"/>
      <scheme val="minor"/>
    </font>
    <font>
      <b/>
      <sz val="10"/>
      <color theme="0"/>
      <name val="Aptos"/>
      <family val="2"/>
    </font>
    <font>
      <sz val="11"/>
      <color rgb="FFFFFFFF"/>
      <name val="Aptos Narrow"/>
      <family val="2"/>
      <scheme val="minor"/>
    </font>
    <font>
      <b/>
      <sz val="10"/>
      <name val="Aptos"/>
      <family val="2"/>
    </font>
    <font>
      <sz val="10"/>
      <name val="Aptos"/>
    </font>
  </fonts>
  <fills count="12">
    <fill>
      <patternFill patternType="none"/>
    </fill>
    <fill>
      <patternFill patternType="gray125"/>
    </fill>
    <fill>
      <patternFill patternType="solid">
        <fgColor theme="5" tint="0.79998168889431442"/>
        <bgColor indexed="64"/>
      </patternFill>
    </fill>
    <fill>
      <patternFill patternType="solid">
        <fgColor rgb="FF5B9BD5"/>
        <bgColor indexed="64"/>
      </patternFill>
    </fill>
    <fill>
      <patternFill patternType="solid">
        <fgColor rgb="FFF8FBFE"/>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rgb="FFD9EAF7"/>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26">
    <border>
      <left/>
      <right/>
      <top/>
      <bottom/>
      <diagonal/>
    </border>
    <border>
      <left/>
      <right/>
      <top style="thin">
        <color rgb="FFD9E2F3"/>
      </top>
      <bottom style="thin">
        <color rgb="FFD9E2F3"/>
      </bottom>
      <diagonal/>
    </border>
    <border>
      <left style="thin">
        <color rgb="FFD9E2F3"/>
      </left>
      <right/>
      <top style="thin">
        <color rgb="FFD9E2F3"/>
      </top>
      <bottom style="thin">
        <color rgb="FFD9E2F3"/>
      </bottom>
      <diagonal/>
    </border>
    <border>
      <left style="thin">
        <color rgb="FFD9E2F3"/>
      </left>
      <right/>
      <top/>
      <bottom/>
      <diagonal/>
    </border>
    <border>
      <left style="thin">
        <color rgb="FFD9E2F3"/>
      </left>
      <right style="thin">
        <color rgb="FFD9E2F3"/>
      </right>
      <top style="thin">
        <color rgb="FFD9E2F3"/>
      </top>
      <bottom style="thin">
        <color rgb="FFD9E2F3"/>
      </bottom>
      <diagonal/>
    </border>
    <border>
      <left/>
      <right style="thin">
        <color rgb="FFD9E2F3"/>
      </right>
      <top/>
      <bottom/>
      <diagonal/>
    </border>
    <border>
      <left/>
      <right style="thin">
        <color rgb="FFD9E2F3"/>
      </right>
      <top/>
      <bottom style="thin">
        <color rgb="FFD9E2F3"/>
      </bottom>
      <diagonal/>
    </border>
    <border>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style="thin">
        <color rgb="FFD9E2F3"/>
      </bottom>
      <diagonal/>
    </border>
    <border>
      <left style="thin">
        <color rgb="FFD9E2F3"/>
      </left>
      <right/>
      <top style="thin">
        <color rgb="FFD9E2F3"/>
      </top>
      <bottom/>
      <diagonal/>
    </border>
    <border>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style="thin">
        <color rgb="FFD9E2F3"/>
      </left>
      <right style="thin">
        <color rgb="FFD9E2F3"/>
      </right>
      <top style="thin">
        <color theme="0"/>
      </top>
      <bottom/>
      <diagonal/>
    </border>
    <border>
      <left style="thin">
        <color rgb="FFD9E2F3"/>
      </left>
      <right style="thin">
        <color rgb="FFD9E2F3"/>
      </right>
      <top style="thin">
        <color theme="0"/>
      </top>
      <bottom style="thin">
        <color theme="0"/>
      </bottom>
      <diagonal/>
    </border>
    <border>
      <left style="thin">
        <color rgb="FFD9E2F3"/>
      </left>
      <right style="thin">
        <color theme="0"/>
      </right>
      <top style="thin">
        <color theme="0"/>
      </top>
      <bottom style="thin">
        <color rgb="FFD9E2F3"/>
      </bottom>
      <diagonal/>
    </border>
    <border>
      <left/>
      <right style="thin">
        <color rgb="FFD9E2F3"/>
      </right>
      <top style="thin">
        <color theme="0"/>
      </top>
      <bottom style="thin">
        <color theme="0"/>
      </bottom>
      <diagonal/>
    </border>
    <border>
      <left style="thin">
        <color rgb="FFD9E2F3"/>
      </left>
      <right/>
      <top style="thin">
        <color theme="0"/>
      </top>
      <bottom style="thin">
        <color theme="0"/>
      </bottom>
      <diagonal/>
    </border>
    <border>
      <left/>
      <right/>
      <top/>
      <bottom style="thin">
        <color rgb="FFD9E2F3"/>
      </bottom>
      <diagonal/>
    </border>
    <border>
      <left style="thin">
        <color indexed="64"/>
      </left>
      <right/>
      <top/>
      <bottom/>
      <diagonal/>
    </border>
    <border>
      <left style="thin">
        <color theme="0"/>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1" fillId="0" borderId="0"/>
  </cellStyleXfs>
  <cellXfs count="99">
    <xf numFmtId="0" fontId="0" fillId="0" borderId="0" xfId="0"/>
    <xf numFmtId="9" fontId="0" fillId="0" borderId="0" xfId="0" applyNumberFormat="1"/>
    <xf numFmtId="0" fontId="4" fillId="4" borderId="4" xfId="0" applyFont="1" applyFill="1" applyBorder="1" applyAlignment="1">
      <alignment horizontal="left" vertical="center" wrapText="1"/>
    </xf>
    <xf numFmtId="0" fontId="2" fillId="3" borderId="8" xfId="0" applyFont="1" applyFill="1" applyBorder="1" applyAlignment="1">
      <alignment horizontal="center" vertical="center" wrapText="1"/>
    </xf>
    <xf numFmtId="9" fontId="3" fillId="5" borderId="2" xfId="2" applyFont="1" applyFill="1" applyBorder="1" applyAlignment="1">
      <alignment vertical="center" wrapText="1"/>
    </xf>
    <xf numFmtId="164" fontId="3" fillId="5" borderId="2" xfId="1" applyNumberFormat="1" applyFont="1" applyFill="1" applyBorder="1" applyAlignment="1">
      <alignment vertical="center" wrapText="1"/>
    </xf>
    <xf numFmtId="17" fontId="3" fillId="5" borderId="2" xfId="1" applyNumberFormat="1" applyFont="1" applyFill="1" applyBorder="1" applyAlignment="1">
      <alignment vertical="center" wrapText="1"/>
    </xf>
    <xf numFmtId="0" fontId="2" fillId="3" borderId="2" xfId="0" applyFont="1" applyFill="1" applyBorder="1" applyAlignment="1">
      <alignment vertical="center" wrapText="1"/>
    </xf>
    <xf numFmtId="0" fontId="2" fillId="3" borderId="7" xfId="0" applyFont="1" applyFill="1" applyBorder="1" applyAlignment="1">
      <alignment vertical="center" wrapText="1"/>
    </xf>
    <xf numFmtId="0" fontId="2" fillId="0" borderId="0" xfId="0" applyFont="1" applyAlignment="1">
      <alignment horizontal="center" vertical="center" wrapText="1"/>
    </xf>
    <xf numFmtId="164" fontId="3" fillId="0" borderId="0" xfId="1" applyNumberFormat="1" applyFont="1" applyFill="1" applyBorder="1" applyAlignment="1">
      <alignment vertical="center" wrapText="1"/>
    </xf>
    <xf numFmtId="164" fontId="3" fillId="0" borderId="2" xfId="1" applyNumberFormat="1" applyFont="1" applyFill="1" applyBorder="1" applyAlignment="1">
      <alignment vertical="center" wrapText="1"/>
    </xf>
    <xf numFmtId="10" fontId="3" fillId="5" borderId="2" xfId="2" applyNumberFormat="1" applyFont="1" applyFill="1" applyBorder="1" applyAlignment="1">
      <alignment vertical="center" wrapText="1"/>
    </xf>
    <xf numFmtId="0" fontId="0" fillId="0" borderId="0" xfId="0" applyAlignment="1">
      <alignment wrapText="1"/>
    </xf>
    <xf numFmtId="9" fontId="6" fillId="5" borderId="4" xfId="2" applyFont="1" applyFill="1" applyBorder="1" applyAlignment="1">
      <alignment vertical="center" wrapText="1"/>
    </xf>
    <xf numFmtId="9" fontId="6" fillId="5" borderId="2" xfId="2" applyFont="1" applyFill="1" applyBorder="1" applyAlignment="1">
      <alignment vertical="center" wrapText="1"/>
    </xf>
    <xf numFmtId="9" fontId="3" fillId="5" borderId="2" xfId="2" applyFont="1" applyFill="1" applyBorder="1" applyAlignment="1">
      <alignment horizontal="right" vertical="center" wrapText="1"/>
    </xf>
    <xf numFmtId="17" fontId="3" fillId="0" borderId="2" xfId="1" applyNumberFormat="1" applyFont="1" applyFill="1" applyBorder="1" applyAlignment="1">
      <alignment vertical="center" wrapText="1"/>
    </xf>
    <xf numFmtId="0" fontId="4" fillId="2" borderId="4" xfId="0" applyFont="1" applyFill="1" applyBorder="1" applyAlignment="1">
      <alignment horizontal="left" vertical="center" wrapText="1"/>
    </xf>
    <xf numFmtId="0" fontId="9" fillId="6" borderId="0" xfId="3" applyFont="1" applyFill="1" applyAlignment="1">
      <alignment horizontal="left" vertical="center"/>
    </xf>
    <xf numFmtId="0" fontId="0" fillId="6" borderId="0" xfId="0" applyFill="1"/>
    <xf numFmtId="0" fontId="10" fillId="0" borderId="0" xfId="3" applyFont="1" applyAlignment="1">
      <alignment horizontal="left" vertical="center"/>
    </xf>
    <xf numFmtId="0" fontId="0" fillId="6" borderId="0" xfId="0" applyFill="1" applyAlignment="1">
      <alignment horizontal="center"/>
    </xf>
    <xf numFmtId="0" fontId="1" fillId="0" borderId="0" xfId="4"/>
    <xf numFmtId="0" fontId="0" fillId="0" borderId="0" xfId="4" applyFont="1"/>
    <xf numFmtId="0" fontId="7" fillId="7" borderId="0" xfId="0" applyFont="1" applyFill="1"/>
    <xf numFmtId="0" fontId="11" fillId="8" borderId="0" xfId="0" applyFont="1" applyFill="1" applyAlignment="1">
      <alignment vertical="center" wrapText="1"/>
    </xf>
    <xf numFmtId="164" fontId="6" fillId="5" borderId="2" xfId="2" applyNumberFormat="1" applyFont="1" applyFill="1" applyBorder="1" applyAlignment="1">
      <alignment vertical="center" wrapText="1"/>
    </xf>
    <xf numFmtId="164" fontId="3" fillId="5" borderId="2" xfId="1" applyNumberFormat="1" applyFont="1" applyFill="1" applyBorder="1" applyAlignment="1">
      <alignment vertical="center"/>
    </xf>
    <xf numFmtId="164" fontId="3" fillId="5" borderId="3" xfId="1" applyNumberFormat="1" applyFont="1" applyFill="1" applyBorder="1" applyAlignment="1">
      <alignment vertical="center"/>
    </xf>
    <xf numFmtId="9" fontId="6" fillId="5" borderId="2" xfId="2" applyFont="1" applyFill="1" applyBorder="1" applyAlignment="1">
      <alignment horizontal="center" vertical="center" wrapText="1"/>
    </xf>
    <xf numFmtId="0" fontId="5" fillId="0" borderId="0" xfId="0" applyFont="1"/>
    <xf numFmtId="9" fontId="0" fillId="0" borderId="0" xfId="0" applyNumberFormat="1" applyAlignment="1">
      <alignment horizontal="center"/>
    </xf>
    <xf numFmtId="9" fontId="0" fillId="0" borderId="0" xfId="0" applyNumberFormat="1" applyAlignment="1">
      <alignment horizontal="center" wrapText="1"/>
    </xf>
    <xf numFmtId="165" fontId="0" fillId="0" borderId="0" xfId="0" applyNumberFormat="1"/>
    <xf numFmtId="0" fontId="13" fillId="5" borderId="0" xfId="0" applyFont="1" applyFill="1"/>
    <xf numFmtId="9" fontId="13" fillId="5" borderId="0" xfId="0" applyNumberFormat="1" applyFont="1" applyFill="1"/>
    <xf numFmtId="164" fontId="3" fillId="5" borderId="3" xfId="1" applyNumberFormat="1" applyFont="1" applyFill="1" applyBorder="1" applyAlignment="1">
      <alignment vertical="center" wrapText="1"/>
    </xf>
    <xf numFmtId="0" fontId="2" fillId="3" borderId="16" xfId="0" applyFont="1" applyFill="1" applyBorder="1" applyAlignment="1">
      <alignment horizontal="center" vertical="center" wrapText="1"/>
    </xf>
    <xf numFmtId="0" fontId="14" fillId="0" borderId="0" xfId="0" applyFont="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9" fontId="3" fillId="0" borderId="2" xfId="2" applyFont="1" applyFill="1" applyBorder="1" applyAlignment="1">
      <alignment horizontal="right" vertical="center" wrapText="1"/>
    </xf>
    <xf numFmtId="0" fontId="0" fillId="11" borderId="23" xfId="0" applyFill="1" applyBorder="1" applyAlignment="1">
      <alignment wrapText="1"/>
    </xf>
    <xf numFmtId="0" fontId="0" fillId="11" borderId="24" xfId="0" applyFill="1" applyBorder="1" applyAlignment="1">
      <alignment wrapText="1"/>
    </xf>
    <xf numFmtId="0" fontId="0" fillId="11" borderId="25" xfId="0" applyFill="1" applyBorder="1" applyAlignment="1">
      <alignment wrapText="1"/>
    </xf>
    <xf numFmtId="0" fontId="2" fillId="0" borderId="0" xfId="0" applyFont="1" applyAlignment="1">
      <alignment vertical="center" wrapText="1"/>
    </xf>
    <xf numFmtId="164" fontId="0" fillId="0" borderId="0" xfId="0" applyNumberFormat="1"/>
    <xf numFmtId="0" fontId="11" fillId="0" borderId="0" xfId="0" applyFont="1" applyAlignment="1">
      <alignment vertical="center" wrapText="1"/>
    </xf>
    <xf numFmtId="43" fontId="3" fillId="0" borderId="2" xfId="1" applyFont="1" applyFill="1" applyBorder="1" applyAlignment="1">
      <alignment vertical="center" wrapText="1"/>
    </xf>
    <xf numFmtId="0" fontId="0" fillId="0" borderId="0" xfId="0" applyAlignment="1">
      <alignment horizontal="center"/>
    </xf>
    <xf numFmtId="0" fontId="4" fillId="4" borderId="2"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5" fillId="10" borderId="20" xfId="0" applyFont="1" applyFill="1" applyBorder="1" applyAlignment="1">
      <alignment horizontal="center"/>
    </xf>
    <xf numFmtId="0" fontId="5" fillId="10" borderId="0" xfId="0" applyFont="1" applyFill="1" applyAlignment="1">
      <alignment horizontal="center"/>
    </xf>
    <xf numFmtId="0" fontId="5" fillId="10" borderId="22" xfId="0" applyFont="1" applyFill="1" applyBorder="1" applyAlignment="1">
      <alignment horizontal="center"/>
    </xf>
    <xf numFmtId="0" fontId="0" fillId="11" borderId="20" xfId="0" applyFill="1" applyBorder="1" applyAlignment="1">
      <alignment horizontal="left" vertical="top" wrapText="1"/>
    </xf>
    <xf numFmtId="0" fontId="0" fillId="11" borderId="0" xfId="0" applyFill="1" applyAlignment="1">
      <alignment horizontal="left" vertical="top" wrapText="1"/>
    </xf>
    <xf numFmtId="0" fontId="0" fillId="11" borderId="22" xfId="0"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0" fontId="0" fillId="11" borderId="25" xfId="0" applyFill="1" applyBorder="1" applyAlignment="1">
      <alignment horizontal="left" vertical="top" wrapText="1"/>
    </xf>
    <xf numFmtId="0" fontId="2" fillId="3" borderId="15" xfId="0" applyFont="1" applyFill="1" applyBorder="1" applyAlignment="1">
      <alignment horizontal="center" vertical="center" wrapText="1"/>
    </xf>
    <xf numFmtId="0" fontId="7" fillId="7" borderId="0" xfId="0" applyFont="1" applyFill="1" applyAlignment="1">
      <alignment horizontal="center"/>
    </xf>
    <xf numFmtId="0" fontId="2" fillId="3" borderId="14"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6" xfId="0" applyFont="1" applyFill="1" applyBorder="1" applyAlignment="1">
      <alignment horizontal="left"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0" xfId="0" applyFont="1" applyFill="1" applyAlignment="1">
      <alignment horizontal="center" vertical="center" wrapText="1"/>
    </xf>
    <xf numFmtId="0" fontId="2" fillId="9" borderId="10"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0" fillId="11" borderId="20" xfId="0" applyFill="1" applyBorder="1" applyAlignment="1">
      <alignment horizontal="center" wrapText="1"/>
    </xf>
    <xf numFmtId="0" fontId="0" fillId="11" borderId="0" xfId="0" applyFill="1" applyAlignment="1">
      <alignment horizontal="center" wrapText="1"/>
    </xf>
    <xf numFmtId="0" fontId="0" fillId="11" borderId="22" xfId="0" applyFill="1" applyBorder="1" applyAlignment="1">
      <alignment horizontal="center" wrapText="1"/>
    </xf>
    <xf numFmtId="9" fontId="15" fillId="5" borderId="4" xfId="2" applyFont="1" applyFill="1" applyBorder="1" applyAlignment="1">
      <alignment vertical="center" wrapText="1"/>
    </xf>
  </cellXfs>
  <cellStyles count="5">
    <cellStyle name="Comma" xfId="1" builtinId="3"/>
    <cellStyle name="Normal" xfId="0" builtinId="0"/>
    <cellStyle name="Normal 2 2" xfId="3" xr:uid="{E42FDB22-2147-4784-922B-1EBF967F5AA5}"/>
    <cellStyle name="Normal 3 2" xfId="4" xr:uid="{0BEF3FAA-9EA9-4CE7-8FEC-24755062939D}"/>
    <cellStyle name="Percent" xfId="2" builtinId="5"/>
  </cellStyles>
  <dxfs count="0"/>
  <tableStyles count="0" defaultTableStyle="TableStyleMedium2" defaultPivotStyle="PivotStyleLight16"/>
  <colors>
    <mruColors>
      <color rgb="FFCCFFFF"/>
      <color rgb="FF5B9BD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ysClr val="windowText" lastClr="000000"/>
                </a:solidFill>
              </a:rPr>
              <a:t>Collateral Value and Loan Outstanding Over Time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Market Value (External Appraiser)</c:v>
          </c:tx>
          <c:spPr>
            <a:ln w="28575" cap="rnd">
              <a:solidFill>
                <a:schemeClr val="accent1"/>
              </a:solidFill>
              <a:round/>
            </a:ln>
            <a:effectLst/>
          </c:spPr>
          <c:marker>
            <c:symbol val="none"/>
          </c:marker>
          <c:cat>
            <c:numRef>
              <c:f>Restructuring!$B$3:$B$10</c:f>
              <c:numCache>
                <c:formatCode>mmm\-yy</c:formatCode>
                <c:ptCount val="8"/>
                <c:pt idx="0">
                  <c:v>42491</c:v>
                </c:pt>
                <c:pt idx="1">
                  <c:v>42856</c:v>
                </c:pt>
                <c:pt idx="2">
                  <c:v>43221</c:v>
                </c:pt>
                <c:pt idx="3">
                  <c:v>43586</c:v>
                </c:pt>
                <c:pt idx="4">
                  <c:v>43952</c:v>
                </c:pt>
                <c:pt idx="5">
                  <c:v>44317</c:v>
                </c:pt>
                <c:pt idx="6">
                  <c:v>44682</c:v>
                </c:pt>
                <c:pt idx="7">
                  <c:v>45047</c:v>
                </c:pt>
              </c:numCache>
            </c:numRef>
          </c:cat>
          <c:val>
            <c:numRef>
              <c:f>Restructuring!$C$3:$C$10</c:f>
              <c:numCache>
                <c:formatCode>_-* #,##0_-;\-* #,##0_-;_-* "-"??_-;_-@_-</c:formatCode>
                <c:ptCount val="8"/>
                <c:pt idx="0">
                  <c:v>140130000</c:v>
                </c:pt>
                <c:pt idx="1">
                  <c:v>140460000</c:v>
                </c:pt>
                <c:pt idx="2">
                  <c:v>134360000</c:v>
                </c:pt>
                <c:pt idx="3">
                  <c:v>125210000</c:v>
                </c:pt>
                <c:pt idx="4">
                  <c:v>100420000</c:v>
                </c:pt>
                <c:pt idx="5">
                  <c:v>92810000</c:v>
                </c:pt>
                <c:pt idx="6">
                  <c:v>86600000</c:v>
                </c:pt>
                <c:pt idx="7">
                  <c:v>88180000</c:v>
                </c:pt>
              </c:numCache>
            </c:numRef>
          </c:val>
          <c:smooth val="0"/>
          <c:extLst>
            <c:ext xmlns:c16="http://schemas.microsoft.com/office/drawing/2014/chart" uri="{C3380CC4-5D6E-409C-BE32-E72D297353CC}">
              <c16:uniqueId val="{00000000-25D6-451F-906A-E532481DBE5A}"/>
            </c:ext>
          </c:extLst>
        </c:ser>
        <c:ser>
          <c:idx val="2"/>
          <c:order val="1"/>
          <c:tx>
            <c:v>Loan Outstanding Amount</c:v>
          </c:tx>
          <c:spPr>
            <a:ln w="28575" cap="rnd">
              <a:solidFill>
                <a:schemeClr val="accent3"/>
              </a:solidFill>
              <a:round/>
            </a:ln>
            <a:effectLst/>
          </c:spPr>
          <c:marker>
            <c:symbol val="none"/>
          </c:marker>
          <c:cat>
            <c:numRef>
              <c:f>Restructuring!$B$3:$B$10</c:f>
              <c:numCache>
                <c:formatCode>mmm\-yy</c:formatCode>
                <c:ptCount val="8"/>
                <c:pt idx="0">
                  <c:v>42491</c:v>
                </c:pt>
                <c:pt idx="1">
                  <c:v>42856</c:v>
                </c:pt>
                <c:pt idx="2">
                  <c:v>43221</c:v>
                </c:pt>
                <c:pt idx="3">
                  <c:v>43586</c:v>
                </c:pt>
                <c:pt idx="4">
                  <c:v>43952</c:v>
                </c:pt>
                <c:pt idx="5">
                  <c:v>44317</c:v>
                </c:pt>
                <c:pt idx="6">
                  <c:v>44682</c:v>
                </c:pt>
                <c:pt idx="7">
                  <c:v>45047</c:v>
                </c:pt>
              </c:numCache>
            </c:numRef>
          </c:cat>
          <c:val>
            <c:numRef>
              <c:f>Restructuring!$D$3:$D$10</c:f>
              <c:numCache>
                <c:formatCode>_-* #,##0_-;\-* #,##0_-;_-* "-"??_-;_-@_-</c:formatCode>
                <c:ptCount val="8"/>
                <c:pt idx="0">
                  <c:v>115000000</c:v>
                </c:pt>
                <c:pt idx="1">
                  <c:v>105416666.66666666</c:v>
                </c:pt>
                <c:pt idx="2">
                  <c:v>95833333.333333328</c:v>
                </c:pt>
                <c:pt idx="3">
                  <c:v>86250000</c:v>
                </c:pt>
                <c:pt idx="4">
                  <c:v>76666666.666666657</c:v>
                </c:pt>
                <c:pt idx="5">
                  <c:v>67083333.333333321</c:v>
                </c:pt>
                <c:pt idx="6">
                  <c:v>57499999.999999985</c:v>
                </c:pt>
                <c:pt idx="7">
                  <c:v>47916666.666666649</c:v>
                </c:pt>
              </c:numCache>
            </c:numRef>
          </c:val>
          <c:smooth val="0"/>
          <c:extLst>
            <c:ext xmlns:c16="http://schemas.microsoft.com/office/drawing/2014/chart" uri="{C3380CC4-5D6E-409C-BE32-E72D297353CC}">
              <c16:uniqueId val="{00000002-25D6-451F-906A-E532481DBE5A}"/>
            </c:ext>
          </c:extLst>
        </c:ser>
        <c:ser>
          <c:idx val="3"/>
          <c:order val="2"/>
          <c:tx>
            <c:strRef>
              <c:f>Restructuring!$R$1</c:f>
              <c:strCache>
                <c:ptCount val="1"/>
                <c:pt idx="0">
                  <c:v>40% Haircut applied to Market Value</c:v>
                </c:pt>
              </c:strCache>
            </c:strRef>
          </c:tx>
          <c:spPr>
            <a:ln w="28575" cap="rnd">
              <a:solidFill>
                <a:schemeClr val="accent4"/>
              </a:solidFill>
              <a:round/>
            </a:ln>
            <a:effectLst/>
          </c:spPr>
          <c:marker>
            <c:symbol val="none"/>
          </c:marker>
          <c:val>
            <c:numRef>
              <c:f>Restructuring!$R$3:$R$10</c:f>
              <c:numCache>
                <c:formatCode>_(* #,##0.0_);_(* \(#,##0.0\);_(* "-"?_);_(@_)</c:formatCode>
                <c:ptCount val="8"/>
                <c:pt idx="0">
                  <c:v>56052000</c:v>
                </c:pt>
                <c:pt idx="1">
                  <c:v>56184000</c:v>
                </c:pt>
                <c:pt idx="2">
                  <c:v>53744000</c:v>
                </c:pt>
                <c:pt idx="3">
                  <c:v>50084000</c:v>
                </c:pt>
                <c:pt idx="4">
                  <c:v>40168000</c:v>
                </c:pt>
                <c:pt idx="5">
                  <c:v>37124000</c:v>
                </c:pt>
                <c:pt idx="6">
                  <c:v>34640000</c:v>
                </c:pt>
                <c:pt idx="7">
                  <c:v>35272000</c:v>
                </c:pt>
              </c:numCache>
            </c:numRef>
          </c:val>
          <c:smooth val="0"/>
          <c:extLst>
            <c:ext xmlns:c16="http://schemas.microsoft.com/office/drawing/2014/chart" uri="{C3380CC4-5D6E-409C-BE32-E72D297353CC}">
              <c16:uniqueId val="{00000003-25D6-451F-906A-E532481DBE5A}"/>
            </c:ext>
          </c:extLst>
        </c:ser>
        <c:dLbls>
          <c:showLegendKey val="0"/>
          <c:showVal val="0"/>
          <c:showCatName val="0"/>
          <c:showSerName val="0"/>
          <c:showPercent val="0"/>
          <c:showBubbleSize val="0"/>
        </c:dLbls>
        <c:smooth val="0"/>
        <c:axId val="1110222816"/>
        <c:axId val="1110226656"/>
      </c:lineChart>
      <c:catAx>
        <c:axId val="111022281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0226656"/>
        <c:crosses val="autoZero"/>
        <c:auto val="0"/>
        <c:lblAlgn val="ctr"/>
        <c:lblOffset val="100"/>
        <c:tickLblSkip val="1"/>
        <c:noMultiLvlLbl val="0"/>
      </c:catAx>
      <c:valAx>
        <c:axId val="11102266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Value (EUR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quot;M&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0222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Estimated vs. Realized LGDs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'LGD Comparison'!$B$10</c:f>
              <c:strCache>
                <c:ptCount val="1"/>
                <c:pt idx="0">
                  <c:v>Estimated LGDs</c:v>
                </c:pt>
              </c:strCache>
            </c:strRef>
          </c:tx>
          <c:spPr>
            <a:solidFill>
              <a:srgbClr val="9DC3E6"/>
            </a:solidFill>
            <a:ln>
              <a:solidFill>
                <a:srgbClr val="9DC3E6"/>
              </a:solidFill>
              <a:prstDash val="soli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'LGD Comparison'!$A$11:$A$17</c:f>
              <c:strCache>
                <c:ptCount val="7"/>
                <c:pt idx="0">
                  <c:v>F-IRB LGD if CRR3 199(6)(d) is not met</c:v>
                </c:pt>
                <c:pt idx="1">
                  <c:v>F-IRB LGD</c:v>
                </c:pt>
                <c:pt idx="2">
                  <c:v>A-IRB Input Floor</c:v>
                </c:pt>
                <c:pt idx="3">
                  <c:v>Restructuring</c:v>
                </c:pt>
                <c:pt idx="4">
                  <c:v>Consensual Sale</c:v>
                </c:pt>
                <c:pt idx="5">
                  <c:v>Enforcement Led Collateral Sale</c:v>
                </c:pt>
                <c:pt idx="6">
                  <c:v>Loan Sale</c:v>
                </c:pt>
              </c:strCache>
            </c:strRef>
          </c:cat>
          <c:val>
            <c:numRef>
              <c:f>'LGD Comparison'!$B$11:$B$17</c:f>
              <c:numCache>
                <c:formatCode>0%</c:formatCode>
                <c:ptCount val="7"/>
                <c:pt idx="0">
                  <c:v>0.4</c:v>
                </c:pt>
                <c:pt idx="1">
                  <c:v>0.29033304347826089</c:v>
                </c:pt>
                <c:pt idx="2">
                  <c:v>0.17688869565217391</c:v>
                </c:pt>
              </c:numCache>
            </c:numRef>
          </c:val>
          <c:extLst>
            <c:ext xmlns:c16="http://schemas.microsoft.com/office/drawing/2014/chart" uri="{C3380CC4-5D6E-409C-BE32-E72D297353CC}">
              <c16:uniqueId val="{00000002-DAD5-4AAE-B899-4FFA36E9AFD4}"/>
            </c:ext>
          </c:extLst>
        </c:ser>
        <c:ser>
          <c:idx val="1"/>
          <c:order val="1"/>
          <c:tx>
            <c:strRef>
              <c:f>'LGD Comparison'!$C$10</c:f>
              <c:strCache>
                <c:ptCount val="1"/>
                <c:pt idx="0">
                  <c:v>Realized LGDs</c:v>
                </c:pt>
              </c:strCache>
            </c:strRef>
          </c:tx>
          <c:spPr>
            <a:solidFill>
              <a:srgbClr val="2F75B5"/>
            </a:solidFill>
            <a:ln>
              <a:solidFill>
                <a:srgbClr val="2F75B5"/>
              </a:solidFill>
              <a:prstDash val="soli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'LGD Comparison'!$A$11:$A$17</c:f>
              <c:strCache>
                <c:ptCount val="7"/>
                <c:pt idx="0">
                  <c:v>F-IRB LGD if CRR3 199(6)(d) is not met</c:v>
                </c:pt>
                <c:pt idx="1">
                  <c:v>F-IRB LGD</c:v>
                </c:pt>
                <c:pt idx="2">
                  <c:v>A-IRB Input Floor</c:v>
                </c:pt>
                <c:pt idx="3">
                  <c:v>Restructuring</c:v>
                </c:pt>
                <c:pt idx="4">
                  <c:v>Consensual Sale</c:v>
                </c:pt>
                <c:pt idx="5">
                  <c:v>Enforcement Led Collateral Sale</c:v>
                </c:pt>
                <c:pt idx="6">
                  <c:v>Loan Sale</c:v>
                </c:pt>
              </c:strCache>
            </c:strRef>
          </c:cat>
          <c:val>
            <c:numRef>
              <c:f>'LGD Comparison'!$C$11:$C$17</c:f>
              <c:numCache>
                <c:formatCode>0%</c:formatCode>
                <c:ptCount val="7"/>
                <c:pt idx="3">
                  <c:v>7.947422747500732E-2</c:v>
                </c:pt>
                <c:pt idx="4">
                  <c:v>6.4059352108692402E-2</c:v>
                </c:pt>
                <c:pt idx="5">
                  <c:v>0.1283408847169093</c:v>
                </c:pt>
                <c:pt idx="6">
                  <c:v>7.9172208418289536E-2</c:v>
                </c:pt>
              </c:numCache>
            </c:numRef>
          </c:val>
          <c:extLst>
            <c:ext xmlns:c16="http://schemas.microsoft.com/office/drawing/2014/chart" uri="{C3380CC4-5D6E-409C-BE32-E72D297353CC}">
              <c16:uniqueId val="{00000008-D1A5-4111-B6CF-2E64BC660A66}"/>
            </c:ext>
          </c:extLst>
        </c:ser>
        <c:dLbls>
          <c:showLegendKey val="0"/>
          <c:showVal val="0"/>
          <c:showCatName val="0"/>
          <c:showSerName val="0"/>
          <c:showPercent val="0"/>
          <c:showBubbleSize val="0"/>
        </c:dLbls>
        <c:gapWidth val="150"/>
        <c:overlap val="100"/>
        <c:axId val="630213952"/>
        <c:axId val="630209632"/>
      </c:barChart>
      <c:catAx>
        <c:axId val="6302139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LGD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209632"/>
        <c:crosses val="autoZero"/>
        <c:auto val="1"/>
        <c:lblAlgn val="ctr"/>
        <c:lblOffset val="100"/>
        <c:noMultiLvlLbl val="0"/>
      </c:catAx>
      <c:valAx>
        <c:axId val="630209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LGD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0213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16329</xdr:rowOff>
    </xdr:from>
    <xdr:to>
      <xdr:col>8</xdr:col>
      <xdr:colOff>459195</xdr:colOff>
      <xdr:row>11</xdr:row>
      <xdr:rowOff>9707</xdr:rowOff>
    </xdr:to>
    <xdr:pic>
      <xdr:nvPicPr>
        <xdr:cNvPr id="2" name="Picture 1">
          <a:extLst>
            <a:ext uri="{FF2B5EF4-FFF2-40B4-BE49-F238E27FC236}">
              <a16:creationId xmlns:a16="http://schemas.microsoft.com/office/drawing/2014/main" id="{2222F333-AAC6-4100-A021-0683ADCE3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8279"/>
          <a:ext cx="5526495" cy="16189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880108</xdr:colOff>
      <xdr:row>12</xdr:row>
      <xdr:rowOff>50799</xdr:rowOff>
    </xdr:from>
    <xdr:to>
      <xdr:col>14</xdr:col>
      <xdr:colOff>3810</xdr:colOff>
      <xdr:row>18</xdr:row>
      <xdr:rowOff>525780</xdr:rowOff>
    </xdr:to>
    <xdr:graphicFrame macro="">
      <xdr:nvGraphicFramePr>
        <xdr:cNvPr id="5" name="Chart 4">
          <a:extLst>
            <a:ext uri="{FF2B5EF4-FFF2-40B4-BE49-F238E27FC236}">
              <a16:creationId xmlns:a16="http://schemas.microsoft.com/office/drawing/2014/main" id="{3579FE6A-9E68-4024-AF86-6ABEF6CE2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0.61157</cdr:x>
      <cdr:y>0.17014</cdr:y>
    </cdr:from>
    <cdr:to>
      <cdr:x>0.72982</cdr:x>
      <cdr:y>0.68064</cdr:y>
    </cdr:to>
    <cdr:grpSp>
      <cdr:nvGrpSpPr>
        <cdr:cNvPr id="5" name="Group 4">
          <a:extLst xmlns:a="http://schemas.openxmlformats.org/drawingml/2006/main">
            <a:ext uri="{FF2B5EF4-FFF2-40B4-BE49-F238E27FC236}">
              <a16:creationId xmlns:a16="http://schemas.microsoft.com/office/drawing/2014/main" id="{911BF447-E6FE-F372-C884-049EA57269E7}"/>
            </a:ext>
          </a:extLst>
        </cdr:cNvPr>
        <cdr:cNvGrpSpPr/>
      </cdr:nvGrpSpPr>
      <cdr:grpSpPr>
        <a:xfrm xmlns:a="http://schemas.openxmlformats.org/drawingml/2006/main">
          <a:off x="3523085" y="503461"/>
          <a:ext cx="681205" cy="1510622"/>
          <a:chOff x="3054350" y="7938"/>
          <a:chExt cx="590550" cy="1949450"/>
        </a:xfrm>
      </cdr:grpSpPr>
      <cdr:cxnSp macro="">
        <cdr:nvCxnSpPr>
          <cdr:cNvPr id="3" name="Straight Connector 2">
            <a:extLst xmlns:a="http://schemas.openxmlformats.org/drawingml/2006/main">
              <a:ext uri="{FF2B5EF4-FFF2-40B4-BE49-F238E27FC236}">
                <a16:creationId xmlns:a16="http://schemas.microsoft.com/office/drawing/2014/main" id="{B0372C79-F724-8AA1-A331-7658E31A2CBE}"/>
              </a:ext>
            </a:extLst>
          </cdr:cNvPr>
          <cdr:cNvCxnSpPr/>
        </cdr:nvCxnSpPr>
        <cdr:spPr>
          <a:xfrm xmlns:a="http://schemas.openxmlformats.org/drawingml/2006/main">
            <a:off x="3054350" y="7938"/>
            <a:ext cx="0" cy="1949450"/>
          </a:xfrm>
          <a:prstGeom xmlns:a="http://schemas.openxmlformats.org/drawingml/2006/main" prst="line">
            <a:avLst/>
          </a:prstGeom>
          <a:ln xmlns:a="http://schemas.openxmlformats.org/drawingml/2006/main">
            <a:solidFill>
              <a:srgbClr val="C00000"/>
            </a:solidFill>
            <a:prstDash val="lgDash"/>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sp macro="" textlink="">
        <cdr:nvSpPr>
          <cdr:cNvPr id="4" name="TextBox 3">
            <a:extLst xmlns:a="http://schemas.openxmlformats.org/drawingml/2006/main">
              <a:ext uri="{FF2B5EF4-FFF2-40B4-BE49-F238E27FC236}">
                <a16:creationId xmlns:a16="http://schemas.microsoft.com/office/drawing/2014/main" id="{765AE7DB-AFC9-1887-FCF2-5379E1107794}"/>
              </a:ext>
            </a:extLst>
          </cdr:cNvPr>
          <cdr:cNvSpPr txBox="1"/>
        </cdr:nvSpPr>
        <cdr:spPr>
          <a:xfrm xmlns:a="http://schemas.openxmlformats.org/drawingml/2006/main">
            <a:off x="3060700" y="46038"/>
            <a:ext cx="584200" cy="215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kern="1200">
                <a:solidFill>
                  <a:srgbClr val="C00000"/>
                </a:solidFill>
              </a:rPr>
              <a:t>Default</a:t>
            </a:r>
          </a:p>
        </cdr:txBody>
      </cdr:sp>
    </cdr:grp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5</xdr:row>
      <xdr:rowOff>68262</xdr:rowOff>
    </xdr:from>
    <xdr:to>
      <xdr:col>6</xdr:col>
      <xdr:colOff>790574</xdr:colOff>
      <xdr:row>28</xdr:row>
      <xdr:rowOff>63500</xdr:rowOff>
    </xdr:to>
    <xdr:graphicFrame macro="">
      <xdr:nvGraphicFramePr>
        <xdr:cNvPr id="4" name="Chart 3">
          <a:extLst>
            <a:ext uri="{FF2B5EF4-FFF2-40B4-BE49-F238E27FC236}">
              <a16:creationId xmlns:a16="http://schemas.microsoft.com/office/drawing/2014/main" id="{CC139A34-15BC-6943-4A24-E73C9275C6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6C3E-2D65-4B1A-B8B9-81F643D9BC3F}">
  <dimension ref="A15:K24"/>
  <sheetViews>
    <sheetView zoomScaleNormal="100" workbookViewId="0"/>
  </sheetViews>
  <sheetFormatPr defaultColWidth="8.77734375" defaultRowHeight="14.4" x14ac:dyDescent="0.3"/>
  <cols>
    <col min="1" max="1" width="8.77734375" style="20"/>
    <col min="2" max="2" width="10.5546875" style="20" bestFit="1" customWidth="1"/>
    <col min="3" max="10" width="8.77734375" style="20"/>
    <col min="11" max="11" width="15.5546875" style="20" bestFit="1" customWidth="1"/>
    <col min="12" max="16384" width="8.77734375" style="20"/>
  </cols>
  <sheetData>
    <row r="15" spans="2:2" ht="46.2" x14ac:dyDescent="0.3">
      <c r="B15" s="19" t="s">
        <v>34</v>
      </c>
    </row>
    <row r="16" spans="2:2" ht="31.2" x14ac:dyDescent="0.3">
      <c r="B16" s="21">
        <v>2026</v>
      </c>
    </row>
    <row r="20" spans="1:11" x14ac:dyDescent="0.3">
      <c r="K20" s="22"/>
    </row>
    <row r="22" spans="1:11" x14ac:dyDescent="0.3">
      <c r="A22" s="23" t="s">
        <v>35</v>
      </c>
    </row>
    <row r="23" spans="1:11" x14ac:dyDescent="0.3">
      <c r="A23" s="24" t="s">
        <v>44</v>
      </c>
    </row>
    <row r="24" spans="1:11" x14ac:dyDescent="0.3">
      <c r="C24" s="20" t="s">
        <v>45</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58D7-D7DF-437E-8FBC-FFEB3ED50DE0}">
  <dimension ref="B2:D18"/>
  <sheetViews>
    <sheetView zoomScaleNormal="100" workbookViewId="0"/>
  </sheetViews>
  <sheetFormatPr defaultColWidth="8.77734375" defaultRowHeight="14.4" x14ac:dyDescent="0.3"/>
  <cols>
    <col min="1" max="1" width="8.77734375" style="20"/>
    <col min="2" max="2" width="10.5546875" style="20" bestFit="1" customWidth="1"/>
    <col min="3" max="3" width="14.5546875" style="20" customWidth="1"/>
    <col min="4" max="4" width="83.44140625" style="20" customWidth="1"/>
    <col min="5" max="8" width="8.77734375" style="20"/>
    <col min="9" max="9" width="15.5546875" style="20" bestFit="1" customWidth="1"/>
    <col min="10" max="16384" width="8.77734375" style="20"/>
  </cols>
  <sheetData>
    <row r="2" spans="2:4" ht="46.2" x14ac:dyDescent="0.3">
      <c r="B2" s="19" t="s">
        <v>48</v>
      </c>
    </row>
    <row r="3" spans="2:4" x14ac:dyDescent="0.3">
      <c r="B3" s="80" t="s">
        <v>36</v>
      </c>
      <c r="C3" s="80"/>
      <c r="D3" s="25" t="s">
        <v>37</v>
      </c>
    </row>
    <row r="4" spans="2:4" ht="14.55" customHeight="1" x14ac:dyDescent="0.3">
      <c r="B4" s="81" t="s">
        <v>3</v>
      </c>
      <c r="C4" s="81"/>
      <c r="D4" s="26" t="s">
        <v>38</v>
      </c>
    </row>
    <row r="5" spans="2:4" ht="26.1" customHeight="1" x14ac:dyDescent="0.3">
      <c r="B5" s="79" t="s">
        <v>1</v>
      </c>
      <c r="C5" s="79"/>
      <c r="D5" s="50" t="s">
        <v>39</v>
      </c>
    </row>
    <row r="6" spans="2:4" ht="41.4" x14ac:dyDescent="0.3">
      <c r="B6" s="38" t="s">
        <v>2</v>
      </c>
      <c r="C6" s="3" t="s">
        <v>50</v>
      </c>
      <c r="D6" s="26" t="s">
        <v>40</v>
      </c>
    </row>
    <row r="7" spans="2:4" ht="14.55" customHeight="1" x14ac:dyDescent="0.3">
      <c r="B7" s="82" t="s">
        <v>52</v>
      </c>
      <c r="C7" s="83"/>
      <c r="D7" s="50" t="s">
        <v>74</v>
      </c>
    </row>
    <row r="8" spans="2:4" ht="31.05" customHeight="1" x14ac:dyDescent="0.3">
      <c r="B8" s="82" t="s">
        <v>79</v>
      </c>
      <c r="C8" s="83"/>
      <c r="D8" s="26" t="s">
        <v>80</v>
      </c>
    </row>
    <row r="9" spans="2:4" ht="29.1" customHeight="1" x14ac:dyDescent="0.3">
      <c r="B9" s="82" t="s">
        <v>26</v>
      </c>
      <c r="C9" s="83"/>
      <c r="D9" s="50" t="s">
        <v>56</v>
      </c>
    </row>
    <row r="10" spans="2:4" ht="14.55" customHeight="1" x14ac:dyDescent="0.3">
      <c r="B10" s="81" t="s">
        <v>41</v>
      </c>
      <c r="C10" s="81"/>
      <c r="D10" s="26" t="s">
        <v>42</v>
      </c>
    </row>
    <row r="11" spans="2:4" ht="29.55" customHeight="1" x14ac:dyDescent="0.3">
      <c r="B11" s="79" t="s">
        <v>67</v>
      </c>
      <c r="C11" s="79"/>
      <c r="D11" s="50" t="s">
        <v>71</v>
      </c>
    </row>
    <row r="12" spans="2:4" ht="14.55" customHeight="1" x14ac:dyDescent="0.3">
      <c r="B12" s="79" t="s">
        <v>51</v>
      </c>
      <c r="C12" s="79"/>
      <c r="D12" s="26" t="s">
        <v>53</v>
      </c>
    </row>
    <row r="13" spans="2:4" ht="14.55" customHeight="1" x14ac:dyDescent="0.3">
      <c r="B13" s="79" t="s">
        <v>33</v>
      </c>
      <c r="C13" s="79"/>
      <c r="D13" s="50" t="s">
        <v>55</v>
      </c>
    </row>
    <row r="14" spans="2:4" ht="25.5" customHeight="1" x14ac:dyDescent="0.3">
      <c r="B14" s="82" t="s">
        <v>31</v>
      </c>
      <c r="C14" s="83"/>
      <c r="D14" s="26" t="s">
        <v>46</v>
      </c>
    </row>
    <row r="15" spans="2:4" ht="14.55" customHeight="1" x14ac:dyDescent="0.3">
      <c r="B15" s="79" t="s">
        <v>32</v>
      </c>
      <c r="C15" s="79"/>
      <c r="D15" s="50" t="s">
        <v>43</v>
      </c>
    </row>
    <row r="16" spans="2:4" ht="27.45" customHeight="1" x14ac:dyDescent="0.3">
      <c r="B16" s="79" t="s">
        <v>28</v>
      </c>
      <c r="C16" s="79"/>
      <c r="D16" s="26" t="s">
        <v>81</v>
      </c>
    </row>
    <row r="17" spans="2:4" ht="17.55" customHeight="1" x14ac:dyDescent="0.3">
      <c r="B17" s="79" t="s">
        <v>47</v>
      </c>
      <c r="C17" s="79"/>
      <c r="D17" s="50" t="s">
        <v>54</v>
      </c>
    </row>
    <row r="18" spans="2:4" ht="24.45" customHeight="1" x14ac:dyDescent="0.3">
      <c r="B18" s="79" t="s">
        <v>75</v>
      </c>
      <c r="C18" s="79"/>
      <c r="D18" s="26" t="s">
        <v>82</v>
      </c>
    </row>
  </sheetData>
  <mergeCells count="15">
    <mergeCell ref="B18:C18"/>
    <mergeCell ref="B3:C3"/>
    <mergeCell ref="B4:C4"/>
    <mergeCell ref="B5:C5"/>
    <mergeCell ref="B7:C7"/>
    <mergeCell ref="B17:C17"/>
    <mergeCell ref="B8:C8"/>
    <mergeCell ref="B9:C9"/>
    <mergeCell ref="B14:C14"/>
    <mergeCell ref="B16:C16"/>
    <mergeCell ref="B10:C10"/>
    <mergeCell ref="B11:C11"/>
    <mergeCell ref="B13:C13"/>
    <mergeCell ref="B15:C15"/>
    <mergeCell ref="B12:C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89B1-D2FE-4B2D-B6DD-213679090592}">
  <dimension ref="A1:S27"/>
  <sheetViews>
    <sheetView tabSelected="1" topLeftCell="C1" workbookViewId="0">
      <selection activeCell="R10" sqref="R10"/>
    </sheetView>
  </sheetViews>
  <sheetFormatPr defaultRowHeight="14.4" x14ac:dyDescent="0.3"/>
  <cols>
    <col min="1" max="1" width="12.5546875" customWidth="1"/>
    <col min="2" max="2" width="8.5546875" customWidth="1"/>
    <col min="3" max="3" width="23.33203125" customWidth="1"/>
    <col min="4" max="4" width="17.77734375" customWidth="1"/>
    <col min="5" max="5" width="10.33203125" customWidth="1"/>
    <col min="6" max="6" width="10.44140625" customWidth="1"/>
    <col min="7" max="7" width="10" customWidth="1"/>
    <col min="8" max="8" width="13.5546875" customWidth="1"/>
    <col min="9" max="10" width="13.77734375" customWidth="1"/>
    <col min="11" max="11" width="16.77734375" customWidth="1"/>
    <col min="12" max="12" width="31.77734375" customWidth="1"/>
    <col min="13" max="13" width="17.21875" customWidth="1"/>
    <col min="14" max="18" width="17.21875" style="13" customWidth="1"/>
    <col min="19" max="19" width="18.21875" customWidth="1"/>
    <col min="20" max="20" width="13.21875" bestFit="1" customWidth="1"/>
  </cols>
  <sheetData>
    <row r="1" spans="1:19" ht="14.55" customHeight="1" x14ac:dyDescent="0.3">
      <c r="A1" s="58" t="s">
        <v>3</v>
      </c>
      <c r="B1" s="66" t="s">
        <v>1</v>
      </c>
      <c r="C1" s="7" t="s">
        <v>2</v>
      </c>
      <c r="D1" s="58" t="s">
        <v>52</v>
      </c>
      <c r="E1" s="68" t="s">
        <v>78</v>
      </c>
      <c r="F1" s="58" t="s">
        <v>26</v>
      </c>
      <c r="G1" s="58" t="s">
        <v>41</v>
      </c>
      <c r="H1" s="58" t="s">
        <v>67</v>
      </c>
      <c r="I1" s="58" t="s">
        <v>33</v>
      </c>
      <c r="J1" s="58" t="s">
        <v>32</v>
      </c>
      <c r="K1" s="9"/>
      <c r="L1" s="7" t="s">
        <v>13</v>
      </c>
      <c r="M1" s="8" t="s">
        <v>12</v>
      </c>
      <c r="N1" s="48"/>
      <c r="O1" s="48"/>
      <c r="P1" s="48"/>
      <c r="Q1" s="48"/>
      <c r="R1" s="52" t="s">
        <v>62</v>
      </c>
    </row>
    <row r="2" spans="1:19" ht="39.6" customHeight="1" x14ac:dyDescent="0.3">
      <c r="A2" s="59"/>
      <c r="B2" s="67"/>
      <c r="C2" s="3" t="s">
        <v>50</v>
      </c>
      <c r="D2" s="59"/>
      <c r="E2" s="69"/>
      <c r="F2" s="59"/>
      <c r="G2" s="59"/>
      <c r="H2" s="59"/>
      <c r="I2" s="59"/>
      <c r="J2" s="59"/>
      <c r="K2" s="9"/>
      <c r="L2" s="13" t="s">
        <v>9</v>
      </c>
      <c r="M2" s="1">
        <v>0.25</v>
      </c>
      <c r="N2" s="1"/>
      <c r="O2" s="1"/>
      <c r="P2" s="1"/>
      <c r="Q2" s="1"/>
      <c r="R2" s="52"/>
    </row>
    <row r="3" spans="1:19" ht="22.05" customHeight="1" x14ac:dyDescent="0.3">
      <c r="A3" s="2" t="s">
        <v>4</v>
      </c>
      <c r="B3" s="6">
        <v>42491</v>
      </c>
      <c r="C3" s="5">
        <v>140130000</v>
      </c>
      <c r="D3" s="5">
        <v>115000000</v>
      </c>
      <c r="E3" s="15">
        <f>(C3*(1-$M$4))/D3</f>
        <v>0.73111304347826089</v>
      </c>
      <c r="F3" s="15">
        <v>0.4</v>
      </c>
      <c r="G3" s="15">
        <f t="shared" ref="G3:G10" si="0">MIN(E3,1)*$M$2+MAX((1-E3),0)*$M$3</f>
        <v>0.29033304347826089</v>
      </c>
      <c r="H3" s="15">
        <f>MIN(E3,1)*$M$5+MAX((1-E3),0)*$M$6</f>
        <v>0.17688869565217391</v>
      </c>
      <c r="I3" s="11"/>
      <c r="J3" s="51"/>
      <c r="L3" s="13" t="s">
        <v>10</v>
      </c>
      <c r="M3" s="1">
        <v>0.4</v>
      </c>
      <c r="N3" s="1"/>
      <c r="O3" s="1"/>
      <c r="P3" s="1"/>
      <c r="Q3" s="1"/>
      <c r="R3" s="34">
        <f t="shared" ref="R3:R10" si="1">0.4*C3</f>
        <v>56052000</v>
      </c>
    </row>
    <row r="4" spans="1:19" ht="32.1" customHeight="1" x14ac:dyDescent="0.3">
      <c r="A4" s="2"/>
      <c r="B4" s="6">
        <v>42856</v>
      </c>
      <c r="C4" s="5">
        <v>140460000</v>
      </c>
      <c r="D4" s="5">
        <v>105416666.66666666</v>
      </c>
      <c r="E4" s="15">
        <f t="shared" ref="E4:E10" si="2">(C4*(1-$M$4))/D4</f>
        <v>0.79945612648221354</v>
      </c>
      <c r="F4" s="15">
        <v>0.4</v>
      </c>
      <c r="G4" s="15">
        <f t="shared" si="0"/>
        <v>0.280081581027668</v>
      </c>
      <c r="H4" s="15">
        <f t="shared" ref="H4:H10" si="3">MIN(E4,1)*$M$5+MAX((1-E4),0)*$M$6</f>
        <v>0.17005438735177864</v>
      </c>
      <c r="I4" s="11"/>
      <c r="J4" s="51"/>
      <c r="L4" s="13" t="s">
        <v>69</v>
      </c>
      <c r="M4" s="1">
        <v>0.4</v>
      </c>
      <c r="N4" s="1"/>
      <c r="O4" s="1"/>
      <c r="P4" s="1"/>
      <c r="Q4" s="1"/>
      <c r="R4" s="34">
        <f t="shared" si="1"/>
        <v>56184000</v>
      </c>
    </row>
    <row r="5" spans="1:19" ht="45" customHeight="1" x14ac:dyDescent="0.3">
      <c r="A5" s="2"/>
      <c r="B5" s="6">
        <v>43221</v>
      </c>
      <c r="C5" s="5">
        <v>134360000</v>
      </c>
      <c r="D5" s="5">
        <v>95833333.333333328</v>
      </c>
      <c r="E5" s="15">
        <f t="shared" si="2"/>
        <v>0.84121043478260871</v>
      </c>
      <c r="F5" s="15">
        <v>0.4</v>
      </c>
      <c r="G5" s="15">
        <f t="shared" si="0"/>
        <v>0.2738184347826087</v>
      </c>
      <c r="H5" s="15">
        <f t="shared" si="3"/>
        <v>0.16587895652173912</v>
      </c>
      <c r="I5" s="11"/>
      <c r="J5" s="11"/>
      <c r="L5" s="13" t="s">
        <v>68</v>
      </c>
      <c r="M5" s="1">
        <v>0.15</v>
      </c>
      <c r="N5" s="1"/>
      <c r="O5" s="1"/>
      <c r="P5" s="1"/>
      <c r="Q5" s="1"/>
      <c r="R5" s="34">
        <f t="shared" si="1"/>
        <v>53744000</v>
      </c>
    </row>
    <row r="6" spans="1:19" ht="42.6" customHeight="1" x14ac:dyDescent="0.3">
      <c r="A6" s="2" t="s">
        <v>11</v>
      </c>
      <c r="B6" s="6">
        <v>43586</v>
      </c>
      <c r="C6" s="5">
        <v>125210000</v>
      </c>
      <c r="D6" s="5">
        <v>86250000</v>
      </c>
      <c r="E6" s="15">
        <f t="shared" si="2"/>
        <v>0.87102608695652173</v>
      </c>
      <c r="F6" s="15">
        <v>0.4</v>
      </c>
      <c r="G6" s="15">
        <f t="shared" si="0"/>
        <v>0.26934608695652174</v>
      </c>
      <c r="H6" s="15">
        <f t="shared" si="3"/>
        <v>0.16289739130434783</v>
      </c>
      <c r="I6" s="11"/>
      <c r="J6" s="11"/>
      <c r="L6" s="13" t="s">
        <v>70</v>
      </c>
      <c r="M6" s="1">
        <v>0.25</v>
      </c>
      <c r="N6" s="1"/>
      <c r="O6" s="1"/>
      <c r="P6" s="1"/>
      <c r="Q6" s="1"/>
      <c r="R6" s="34">
        <f t="shared" si="1"/>
        <v>50084000</v>
      </c>
    </row>
    <row r="7" spans="1:19" ht="22.05" customHeight="1" x14ac:dyDescent="0.3">
      <c r="A7" s="18" t="s">
        <v>0</v>
      </c>
      <c r="B7" s="17">
        <v>43952</v>
      </c>
      <c r="C7" s="11">
        <v>100420000</v>
      </c>
      <c r="D7" s="11">
        <v>76666666.666666657</v>
      </c>
      <c r="E7" s="15">
        <f t="shared" si="2"/>
        <v>0.78589565217391311</v>
      </c>
      <c r="F7" s="15">
        <v>0.4</v>
      </c>
      <c r="G7" s="15">
        <f t="shared" si="0"/>
        <v>0.28211565217391305</v>
      </c>
      <c r="H7" s="15">
        <f t="shared" si="3"/>
        <v>0.1714104347826087</v>
      </c>
      <c r="I7" s="11"/>
      <c r="J7" s="11"/>
      <c r="L7" s="40"/>
      <c r="M7" s="41"/>
      <c r="N7" s="48"/>
      <c r="O7" s="48"/>
      <c r="P7" s="48"/>
      <c r="Q7" s="48"/>
      <c r="R7" s="34">
        <f t="shared" si="1"/>
        <v>40168000</v>
      </c>
    </row>
    <row r="8" spans="1:19" ht="22.05" customHeight="1" x14ac:dyDescent="0.3">
      <c r="A8" s="2" t="s">
        <v>8</v>
      </c>
      <c r="B8" s="6">
        <v>44317</v>
      </c>
      <c r="C8" s="5">
        <v>92810000</v>
      </c>
      <c r="D8" s="5">
        <f>D7-I8</f>
        <v>67083333.333333321</v>
      </c>
      <c r="E8" s="15">
        <f t="shared" si="2"/>
        <v>0.83010186335403746</v>
      </c>
      <c r="F8" s="15">
        <v>0.4</v>
      </c>
      <c r="G8" s="15">
        <f t="shared" si="0"/>
        <v>0.27548472049689438</v>
      </c>
      <c r="H8" s="15">
        <f t="shared" si="3"/>
        <v>0.16698981366459625</v>
      </c>
      <c r="I8" s="11">
        <v>9583333.3333333358</v>
      </c>
      <c r="J8" s="11">
        <v>1533333.3333333333</v>
      </c>
      <c r="K8" s="11"/>
      <c r="L8" s="13"/>
      <c r="M8" s="1"/>
      <c r="N8" s="1"/>
      <c r="O8" s="1"/>
      <c r="P8" s="1"/>
      <c r="Q8" s="1"/>
      <c r="R8" s="34">
        <f t="shared" si="1"/>
        <v>37124000</v>
      </c>
    </row>
    <row r="9" spans="1:19" ht="29.1" customHeight="1" x14ac:dyDescent="0.3">
      <c r="A9" s="2" t="s">
        <v>24</v>
      </c>
      <c r="B9" s="6">
        <v>44682</v>
      </c>
      <c r="C9" s="5">
        <v>86600000</v>
      </c>
      <c r="D9" s="5">
        <f>D8-I9</f>
        <v>57499999.999999985</v>
      </c>
      <c r="E9" s="15">
        <f t="shared" si="2"/>
        <v>0.90365217391304375</v>
      </c>
      <c r="F9" s="15">
        <v>0.4</v>
      </c>
      <c r="G9" s="15">
        <f t="shared" si="0"/>
        <v>0.26445217391304343</v>
      </c>
      <c r="H9" s="15">
        <f t="shared" si="3"/>
        <v>0.15963478260869562</v>
      </c>
      <c r="I9" s="11">
        <v>9583333.3333333358</v>
      </c>
      <c r="J9" s="11">
        <v>1341666.6666666665</v>
      </c>
      <c r="K9" s="11"/>
      <c r="L9" s="13"/>
      <c r="M9" s="1"/>
      <c r="N9" s="1"/>
      <c r="O9" s="1"/>
      <c r="P9" s="1"/>
      <c r="Q9" s="1"/>
      <c r="R9" s="34">
        <f t="shared" si="1"/>
        <v>34640000</v>
      </c>
    </row>
    <row r="10" spans="1:19" ht="30.6" customHeight="1" x14ac:dyDescent="0.3">
      <c r="A10" s="2" t="s">
        <v>6</v>
      </c>
      <c r="B10" s="6">
        <v>45047</v>
      </c>
      <c r="C10" s="5">
        <v>88180000</v>
      </c>
      <c r="D10" s="5">
        <f>D9-I10</f>
        <v>47916666.666666649</v>
      </c>
      <c r="E10" s="15">
        <f t="shared" si="2"/>
        <v>1.1041669565217396</v>
      </c>
      <c r="F10" s="15">
        <v>0.4</v>
      </c>
      <c r="G10" s="15">
        <f t="shared" si="0"/>
        <v>0.25</v>
      </c>
      <c r="H10" s="15">
        <f t="shared" si="3"/>
        <v>0.15</v>
      </c>
      <c r="I10" s="11">
        <v>9583333.3333333358</v>
      </c>
      <c r="J10" s="11">
        <v>1149999.9999999998</v>
      </c>
      <c r="K10" s="11"/>
      <c r="L10" s="13"/>
      <c r="N10"/>
      <c r="O10"/>
      <c r="P10"/>
      <c r="Q10"/>
      <c r="R10" s="34">
        <f t="shared" si="1"/>
        <v>35272000</v>
      </c>
    </row>
    <row r="11" spans="1:19" ht="33" customHeight="1" x14ac:dyDescent="0.3">
      <c r="A11" s="5"/>
      <c r="B11" s="5"/>
      <c r="C11" s="13"/>
      <c r="D11" s="13"/>
      <c r="E11" s="13"/>
      <c r="F11" s="13"/>
      <c r="G11" s="13"/>
      <c r="H11" s="13"/>
      <c r="I11" s="13"/>
    </row>
    <row r="12" spans="1:19" ht="22.05" customHeight="1" x14ac:dyDescent="0.3">
      <c r="A12" s="5"/>
      <c r="B12" s="5"/>
      <c r="C12" s="13"/>
      <c r="D12" s="13"/>
      <c r="E12" s="13"/>
      <c r="F12" s="13"/>
      <c r="G12" s="13"/>
      <c r="H12" s="13"/>
      <c r="I12" s="13"/>
      <c r="S12" s="1"/>
    </row>
    <row r="13" spans="1:19" ht="26.25" customHeight="1" x14ac:dyDescent="0.3">
      <c r="A13" s="60" t="s">
        <v>14</v>
      </c>
      <c r="B13" s="61"/>
      <c r="C13" s="62"/>
      <c r="D13" s="5" t="s">
        <v>29</v>
      </c>
      <c r="E13" s="13"/>
      <c r="F13" s="60" t="s">
        <v>20</v>
      </c>
      <c r="G13" s="61"/>
      <c r="H13" s="61"/>
      <c r="I13" s="62"/>
    </row>
    <row r="14" spans="1:19" ht="22.05" customHeight="1" x14ac:dyDescent="0.3">
      <c r="A14" s="53" t="s">
        <v>15</v>
      </c>
      <c r="B14" s="54"/>
      <c r="C14" s="4">
        <f>(C3-C10)/C3</f>
        <v>0.37072718190251908</v>
      </c>
      <c r="D14" s="29" t="s">
        <v>30</v>
      </c>
      <c r="E14" s="13"/>
      <c r="F14" s="63" t="s">
        <v>21</v>
      </c>
      <c r="G14" s="64"/>
      <c r="H14" s="65"/>
      <c r="I14" s="12">
        <v>5.3400000000000003E-2</v>
      </c>
    </row>
    <row r="15" spans="1:19" ht="74.55" customHeight="1" x14ac:dyDescent="0.3">
      <c r="A15" s="53" t="s">
        <v>17</v>
      </c>
      <c r="B15" s="54"/>
      <c r="C15" s="4">
        <f>(C6-C10)/C6</f>
        <v>0.29574315150547081</v>
      </c>
      <c r="D15" s="37" t="s">
        <v>66</v>
      </c>
      <c r="E15" s="13"/>
      <c r="F15" s="55" t="s">
        <v>25</v>
      </c>
      <c r="G15" s="56"/>
      <c r="H15" s="57"/>
      <c r="I15" s="5">
        <f>(I8/(1+I14))+(I9/(1+I14)^2)+((D10+I10)/(1+I14)^3)</f>
        <v>66925125.131257072</v>
      </c>
    </row>
    <row r="16" spans="1:19" ht="24.6" customHeight="1" x14ac:dyDescent="0.3">
      <c r="A16" s="53" t="s">
        <v>16</v>
      </c>
      <c r="B16" s="54"/>
      <c r="C16" s="16" t="s">
        <v>18</v>
      </c>
      <c r="D16" s="28" t="s">
        <v>49</v>
      </c>
      <c r="E16" s="13"/>
      <c r="F16" s="55" t="s">
        <v>23</v>
      </c>
      <c r="G16" s="56"/>
      <c r="H16" s="57"/>
      <c r="I16" s="5">
        <f>(J8/(1+I14))+(J9/(1+I14)^2)+(J10/(1+I14)^3)</f>
        <v>3648517.4289923576</v>
      </c>
    </row>
    <row r="17" spans="1:16" ht="22.05" customHeight="1" x14ac:dyDescent="0.3">
      <c r="D17" s="5"/>
      <c r="E17" s="13"/>
      <c r="F17" s="55" t="s">
        <v>22</v>
      </c>
      <c r="G17" s="56"/>
      <c r="H17" s="57"/>
      <c r="I17" s="5">
        <f>D7</f>
        <v>76666666.666666657</v>
      </c>
    </row>
    <row r="18" spans="1:16" ht="27.6" customHeight="1" x14ac:dyDescent="0.3">
      <c r="A18" s="42"/>
      <c r="B18" s="43"/>
      <c r="C18" s="16"/>
      <c r="D18" s="5"/>
      <c r="E18" s="13"/>
      <c r="F18" s="55" t="s">
        <v>19</v>
      </c>
      <c r="G18" s="56"/>
      <c r="H18" s="57"/>
      <c r="I18" s="4">
        <f>1-((I16+I15)/I17)</f>
        <v>7.947422747500732E-2</v>
      </c>
    </row>
    <row r="19" spans="1:16" ht="45" customHeight="1" x14ac:dyDescent="0.3">
      <c r="D19" s="5"/>
      <c r="E19" s="13"/>
      <c r="F19" s="5"/>
      <c r="G19" s="5"/>
      <c r="H19" s="5"/>
      <c r="I19" s="5"/>
    </row>
    <row r="21" spans="1:16" x14ac:dyDescent="0.3">
      <c r="K21" s="70" t="s">
        <v>76</v>
      </c>
      <c r="L21" s="71"/>
      <c r="M21" s="71"/>
      <c r="N21" s="72"/>
      <c r="O21" s="31"/>
      <c r="P21" s="31"/>
    </row>
    <row r="22" spans="1:16" x14ac:dyDescent="0.3">
      <c r="K22" s="73" t="s">
        <v>77</v>
      </c>
      <c r="L22" s="74"/>
      <c r="M22" s="74"/>
      <c r="N22" s="75"/>
    </row>
    <row r="23" spans="1:16" x14ac:dyDescent="0.3">
      <c r="K23" s="73"/>
      <c r="L23" s="74"/>
      <c r="M23" s="74"/>
      <c r="N23" s="75"/>
    </row>
    <row r="24" spans="1:16" x14ac:dyDescent="0.3">
      <c r="K24" s="73"/>
      <c r="L24" s="74"/>
      <c r="M24" s="74"/>
      <c r="N24" s="75"/>
    </row>
    <row r="25" spans="1:16" x14ac:dyDescent="0.3">
      <c r="K25" s="73"/>
      <c r="L25" s="74"/>
      <c r="M25" s="74"/>
      <c r="N25" s="75"/>
    </row>
    <row r="26" spans="1:16" x14ac:dyDescent="0.3">
      <c r="K26" s="73"/>
      <c r="L26" s="74"/>
      <c r="M26" s="74"/>
      <c r="N26" s="75"/>
    </row>
    <row r="27" spans="1:16" x14ac:dyDescent="0.3">
      <c r="K27" s="76"/>
      <c r="L27" s="77"/>
      <c r="M27" s="77"/>
      <c r="N27" s="78"/>
    </row>
  </sheetData>
  <mergeCells count="22">
    <mergeCell ref="E1:E2"/>
    <mergeCell ref="K21:N21"/>
    <mergeCell ref="K22:N27"/>
    <mergeCell ref="F18:H18"/>
    <mergeCell ref="A15:B15"/>
    <mergeCell ref="F15:H15"/>
    <mergeCell ref="R1:R2"/>
    <mergeCell ref="A16:B16"/>
    <mergeCell ref="F16:H16"/>
    <mergeCell ref="F17:H17"/>
    <mergeCell ref="I1:I2"/>
    <mergeCell ref="J1:J2"/>
    <mergeCell ref="H1:H2"/>
    <mergeCell ref="A13:C13"/>
    <mergeCell ref="F13:I13"/>
    <mergeCell ref="A14:B14"/>
    <mergeCell ref="F14:H14"/>
    <mergeCell ref="G1:G2"/>
    <mergeCell ref="A1:A2"/>
    <mergeCell ref="B1:B2"/>
    <mergeCell ref="D1:D2"/>
    <mergeCell ref="F1: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7A20-433A-4C18-8E75-FA569FF9F8E2}">
  <dimension ref="A1:O19"/>
  <sheetViews>
    <sheetView topLeftCell="A8" workbookViewId="0">
      <selection activeCell="E1" sqref="E1:E2"/>
    </sheetView>
  </sheetViews>
  <sheetFormatPr defaultRowHeight="14.4" x14ac:dyDescent="0.3"/>
  <cols>
    <col min="1" max="1" width="12.5546875" customWidth="1"/>
    <col min="2" max="2" width="8.5546875" customWidth="1"/>
    <col min="3" max="3" width="23.21875" customWidth="1"/>
    <col min="4" max="4" width="17.5546875" customWidth="1"/>
    <col min="5" max="5" width="9.77734375" customWidth="1"/>
    <col min="6" max="6" width="10.44140625" customWidth="1"/>
    <col min="7" max="7" width="10" customWidth="1"/>
    <col min="8" max="8" width="13.5546875" customWidth="1"/>
    <col min="9" max="10" width="13.77734375" customWidth="1"/>
    <col min="11" max="11" width="16.77734375" customWidth="1"/>
    <col min="12" max="12" width="32" customWidth="1"/>
    <col min="13" max="13" width="17.21875" customWidth="1"/>
    <col min="14" max="14" width="18.6640625" style="13" customWidth="1"/>
    <col min="15" max="15" width="18.21875" customWidth="1"/>
  </cols>
  <sheetData>
    <row r="1" spans="1:15" ht="14.55" customHeight="1" x14ac:dyDescent="0.3">
      <c r="A1" s="58" t="s">
        <v>3</v>
      </c>
      <c r="B1" s="66" t="s">
        <v>1</v>
      </c>
      <c r="C1" s="7" t="s">
        <v>2</v>
      </c>
      <c r="D1" s="58" t="s">
        <v>52</v>
      </c>
      <c r="E1" s="68" t="s">
        <v>78</v>
      </c>
      <c r="F1" s="58" t="s">
        <v>26</v>
      </c>
      <c r="G1" s="58" t="s">
        <v>41</v>
      </c>
      <c r="H1" s="58" t="s">
        <v>67</v>
      </c>
      <c r="I1" s="58" t="s">
        <v>75</v>
      </c>
      <c r="J1" s="58" t="s">
        <v>32</v>
      </c>
      <c r="K1" s="9"/>
      <c r="L1" s="7" t="s">
        <v>13</v>
      </c>
      <c r="M1" s="8" t="s">
        <v>12</v>
      </c>
      <c r="N1"/>
    </row>
    <row r="2" spans="1:15" ht="39.6" customHeight="1" x14ac:dyDescent="0.3">
      <c r="A2" s="59"/>
      <c r="B2" s="67"/>
      <c r="C2" s="3" t="s">
        <v>50</v>
      </c>
      <c r="D2" s="59"/>
      <c r="E2" s="69"/>
      <c r="F2" s="59"/>
      <c r="G2" s="59"/>
      <c r="H2" s="59"/>
      <c r="I2" s="59"/>
      <c r="J2" s="59"/>
      <c r="K2" s="9"/>
      <c r="L2" s="13" t="s">
        <v>9</v>
      </c>
      <c r="M2" s="1">
        <v>0.25</v>
      </c>
      <c r="N2"/>
    </row>
    <row r="3" spans="1:15" ht="22.05" customHeight="1" x14ac:dyDescent="0.3">
      <c r="A3" s="2" t="s">
        <v>4</v>
      </c>
      <c r="B3" s="6">
        <v>42491</v>
      </c>
      <c r="C3" s="5">
        <v>140130000</v>
      </c>
      <c r="D3" s="5">
        <v>115000000</v>
      </c>
      <c r="E3" s="15">
        <f t="shared" ref="E3:E8" si="0">(C3*(1-$M$4))/D3</f>
        <v>0.73111304347826089</v>
      </c>
      <c r="F3" s="15">
        <v>0.4</v>
      </c>
      <c r="G3" s="15">
        <f>MIN(E3,1)*$M$2+MAX((1-E3),0)*$M$3</f>
        <v>0.29033304347826089</v>
      </c>
      <c r="H3" s="15">
        <f>MIN(E3,1)*$M$5+MAX((1-E3),0)*$M$6</f>
        <v>0.17688869565217391</v>
      </c>
      <c r="I3" s="11"/>
      <c r="J3" s="11"/>
      <c r="L3" s="13" t="s">
        <v>10</v>
      </c>
      <c r="M3" s="1">
        <v>0.4</v>
      </c>
      <c r="N3"/>
    </row>
    <row r="4" spans="1:15" ht="32.1" customHeight="1" x14ac:dyDescent="0.3">
      <c r="A4" s="2"/>
      <c r="B4" s="6">
        <v>42856</v>
      </c>
      <c r="C4" s="5">
        <v>140460000</v>
      </c>
      <c r="D4" s="5">
        <v>105416666.66666666</v>
      </c>
      <c r="E4" s="15">
        <f t="shared" si="0"/>
        <v>0.79945612648221354</v>
      </c>
      <c r="F4" s="15">
        <v>0.4</v>
      </c>
      <c r="G4" s="15">
        <f t="shared" ref="G4:G8" si="1">MIN(E4,1)*$M$2+MAX((1-E4),0)*$M$3</f>
        <v>0.280081581027668</v>
      </c>
      <c r="H4" s="15">
        <f t="shared" ref="H4:H8" si="2">MIN(E4,1)*$M$5+MAX((1-E4),0)*$M$6</f>
        <v>0.17005438735177864</v>
      </c>
      <c r="I4" s="11"/>
      <c r="J4" s="11"/>
      <c r="L4" s="13" t="s">
        <v>69</v>
      </c>
      <c r="M4" s="1">
        <v>0.4</v>
      </c>
      <c r="N4"/>
    </row>
    <row r="5" spans="1:15" ht="43.05" customHeight="1" x14ac:dyDescent="0.3">
      <c r="A5" s="2"/>
      <c r="B5" s="6">
        <v>43221</v>
      </c>
      <c r="C5" s="5">
        <v>134360000</v>
      </c>
      <c r="D5" s="5">
        <v>95833333.333333328</v>
      </c>
      <c r="E5" s="15">
        <f t="shared" si="0"/>
        <v>0.84121043478260871</v>
      </c>
      <c r="F5" s="15">
        <v>0.4</v>
      </c>
      <c r="G5" s="15">
        <f t="shared" si="1"/>
        <v>0.2738184347826087</v>
      </c>
      <c r="H5" s="15">
        <f t="shared" si="2"/>
        <v>0.16587895652173912</v>
      </c>
      <c r="I5" s="11"/>
      <c r="J5" s="11"/>
      <c r="L5" s="13" t="s">
        <v>68</v>
      </c>
      <c r="M5" s="1">
        <v>0.15</v>
      </c>
      <c r="N5"/>
    </row>
    <row r="6" spans="1:15" ht="44.1" customHeight="1" x14ac:dyDescent="0.3">
      <c r="A6" s="2" t="s">
        <v>11</v>
      </c>
      <c r="B6" s="6">
        <v>43586</v>
      </c>
      <c r="C6" s="5">
        <v>125210000</v>
      </c>
      <c r="D6" s="5">
        <v>86250000</v>
      </c>
      <c r="E6" s="15">
        <f t="shared" si="0"/>
        <v>0.87102608695652173</v>
      </c>
      <c r="F6" s="15">
        <v>0.4</v>
      </c>
      <c r="G6" s="15">
        <f t="shared" si="1"/>
        <v>0.26934608695652174</v>
      </c>
      <c r="H6" s="15">
        <f t="shared" si="2"/>
        <v>0.16289739130434783</v>
      </c>
      <c r="I6" s="11"/>
      <c r="J6" s="11"/>
      <c r="L6" s="13" t="s">
        <v>70</v>
      </c>
      <c r="M6" s="1">
        <v>0.25</v>
      </c>
      <c r="N6"/>
    </row>
    <row r="7" spans="1:15" ht="22.05" customHeight="1" x14ac:dyDescent="0.3">
      <c r="A7" s="18" t="s">
        <v>0</v>
      </c>
      <c r="B7" s="17">
        <v>43952</v>
      </c>
      <c r="C7" s="11">
        <v>100420000</v>
      </c>
      <c r="D7" s="11">
        <v>76666666.666666657</v>
      </c>
      <c r="E7" s="15">
        <f t="shared" si="0"/>
        <v>0.78589565217391311</v>
      </c>
      <c r="F7" s="15">
        <v>0.4</v>
      </c>
      <c r="G7" s="15">
        <f t="shared" si="1"/>
        <v>0.28211565217391305</v>
      </c>
      <c r="H7" s="15">
        <f t="shared" si="2"/>
        <v>0.1714104347826087</v>
      </c>
      <c r="I7" s="11"/>
      <c r="J7" s="11"/>
      <c r="L7" s="40"/>
      <c r="M7" s="41"/>
      <c r="N7"/>
    </row>
    <row r="8" spans="1:15" ht="22.05" customHeight="1" x14ac:dyDescent="0.3">
      <c r="A8" s="2" t="s">
        <v>8</v>
      </c>
      <c r="B8" s="6">
        <v>44317</v>
      </c>
      <c r="C8" s="5">
        <v>92810000</v>
      </c>
      <c r="D8" s="5">
        <v>76666666.666666657</v>
      </c>
      <c r="E8" s="15">
        <f t="shared" si="0"/>
        <v>0.72633913043478271</v>
      </c>
      <c r="F8" s="15">
        <v>0.4</v>
      </c>
      <c r="G8" s="15">
        <f t="shared" si="1"/>
        <v>0.29104913043478259</v>
      </c>
      <c r="H8" s="15">
        <f t="shared" si="2"/>
        <v>0.17736608695652173</v>
      </c>
      <c r="I8" s="11"/>
      <c r="J8" s="11">
        <v>1533333.3333333333</v>
      </c>
      <c r="L8" s="13"/>
      <c r="M8" s="1"/>
      <c r="N8"/>
    </row>
    <row r="9" spans="1:15" ht="36" customHeight="1" x14ac:dyDescent="0.3">
      <c r="A9" s="2" t="s">
        <v>63</v>
      </c>
      <c r="B9" s="6">
        <v>44682</v>
      </c>
      <c r="C9" s="5">
        <v>86600000</v>
      </c>
      <c r="D9" s="5">
        <f>MAX(D8-I9, 0)</f>
        <v>0</v>
      </c>
      <c r="E9" s="14" t="s">
        <v>18</v>
      </c>
      <c r="F9" s="14" t="s">
        <v>18</v>
      </c>
      <c r="G9" s="14" t="s">
        <v>18</v>
      </c>
      <c r="H9" s="14" t="s">
        <v>18</v>
      </c>
      <c r="I9" s="11">
        <v>81000000</v>
      </c>
      <c r="J9" s="11">
        <v>1341666.6666666665</v>
      </c>
      <c r="L9" s="13"/>
      <c r="M9" s="1"/>
      <c r="N9"/>
    </row>
    <row r="10" spans="1:15" ht="22.05" customHeight="1" x14ac:dyDescent="0.3">
      <c r="A10" s="5"/>
      <c r="B10" s="5"/>
      <c r="C10" s="5"/>
      <c r="D10" s="5"/>
      <c r="E10" s="5"/>
      <c r="F10" s="5"/>
      <c r="G10" s="5"/>
      <c r="M10" s="49"/>
    </row>
    <row r="11" spans="1:15" ht="22.05" customHeight="1" x14ac:dyDescent="0.3">
      <c r="A11" s="5"/>
      <c r="B11" s="5"/>
      <c r="C11" s="5"/>
      <c r="D11" s="5"/>
      <c r="E11" s="5"/>
      <c r="F11" s="5"/>
      <c r="G11" s="5"/>
      <c r="J11" s="13"/>
      <c r="K11" s="13"/>
      <c r="L11" s="13"/>
    </row>
    <row r="12" spans="1:15" ht="33" customHeight="1" x14ac:dyDescent="0.3">
      <c r="A12" s="60" t="s">
        <v>14</v>
      </c>
      <c r="B12" s="61"/>
      <c r="C12" s="62"/>
      <c r="D12" s="5"/>
      <c r="E12" s="5"/>
      <c r="F12" s="60" t="s">
        <v>20</v>
      </c>
      <c r="G12" s="61"/>
      <c r="H12" s="61"/>
      <c r="I12" s="62"/>
      <c r="J12" s="13"/>
      <c r="K12" s="13"/>
      <c r="L12" s="13"/>
    </row>
    <row r="13" spans="1:15" ht="22.05" customHeight="1" x14ac:dyDescent="0.3">
      <c r="A13" s="53" t="s">
        <v>15</v>
      </c>
      <c r="B13" s="54"/>
      <c r="C13" s="4">
        <f>(C3-I9)/C3</f>
        <v>0.42196531791907516</v>
      </c>
      <c r="D13" s="5"/>
      <c r="E13" s="5"/>
      <c r="F13" s="63" t="s">
        <v>21</v>
      </c>
      <c r="G13" s="64"/>
      <c r="H13" s="65"/>
      <c r="I13" s="12">
        <v>5.3400000000000003E-2</v>
      </c>
      <c r="J13" s="13"/>
      <c r="K13" s="13"/>
      <c r="L13" s="13"/>
      <c r="O13" s="1"/>
    </row>
    <row r="14" spans="1:15" ht="22.05" customHeight="1" x14ac:dyDescent="0.3">
      <c r="A14" s="53" t="s">
        <v>17</v>
      </c>
      <c r="B14" s="54"/>
      <c r="C14" s="4">
        <f>(C6-I9)/C6</f>
        <v>0.35308681415222426</v>
      </c>
      <c r="D14" s="5"/>
      <c r="E14" s="5"/>
      <c r="F14" s="55" t="s">
        <v>27</v>
      </c>
      <c r="G14" s="56"/>
      <c r="H14" s="57"/>
      <c r="I14" s="5">
        <f>((I9-(I9-D8))/(1+I13)^2)</f>
        <v>69090757.34248206</v>
      </c>
      <c r="J14" s="13"/>
      <c r="K14" s="13"/>
      <c r="L14" s="13"/>
    </row>
    <row r="15" spans="1:15" ht="22.05" customHeight="1" x14ac:dyDescent="0.3">
      <c r="A15" s="53" t="s">
        <v>16</v>
      </c>
      <c r="B15" s="54"/>
      <c r="C15" s="4">
        <f>(C9-I9)/C9</f>
        <v>6.4665127020785224E-2</v>
      </c>
      <c r="D15" s="5"/>
      <c r="E15" s="5"/>
      <c r="F15" s="55" t="s">
        <v>23</v>
      </c>
      <c r="G15" s="56"/>
      <c r="H15" s="57"/>
      <c r="I15" s="5">
        <f>(J8/(1+I13))+(J9/(1+I13)^2)</f>
        <v>2664692.3291848479</v>
      </c>
      <c r="J15" s="13"/>
      <c r="K15" s="13"/>
      <c r="L15" s="13"/>
    </row>
    <row r="16" spans="1:15" ht="22.05" customHeight="1" x14ac:dyDescent="0.3">
      <c r="A16" s="42"/>
      <c r="B16" s="43"/>
      <c r="C16" s="44"/>
      <c r="D16" s="5"/>
      <c r="E16" s="5"/>
      <c r="F16" s="55" t="s">
        <v>22</v>
      </c>
      <c r="G16" s="56"/>
      <c r="H16" s="57"/>
      <c r="I16" s="5">
        <f>D7</f>
        <v>76666666.666666657</v>
      </c>
      <c r="J16" s="13"/>
      <c r="K16" s="13"/>
      <c r="L16" s="13"/>
    </row>
    <row r="17" spans="1:12" ht="27.6" customHeight="1" x14ac:dyDescent="0.3">
      <c r="A17" s="5"/>
      <c r="B17" s="5"/>
      <c r="C17" s="5"/>
      <c r="D17" s="5"/>
      <c r="E17" s="5"/>
      <c r="F17" s="55" t="s">
        <v>19</v>
      </c>
      <c r="G17" s="56"/>
      <c r="H17" s="57"/>
      <c r="I17" s="4">
        <f>1-((I15+I14)/I16)</f>
        <v>6.4059352108692402E-2</v>
      </c>
      <c r="J17" s="13"/>
      <c r="K17" s="13"/>
      <c r="L17" s="13"/>
    </row>
    <row r="18" spans="1:12" ht="45" customHeight="1" x14ac:dyDescent="0.3">
      <c r="D18" s="5"/>
      <c r="E18" s="5"/>
      <c r="F18" s="5"/>
      <c r="G18" s="5"/>
      <c r="H18" s="5"/>
      <c r="I18" s="5"/>
      <c r="J18" s="13"/>
      <c r="K18" s="13"/>
      <c r="L18" s="13"/>
    </row>
    <row r="19" spans="1:12" x14ac:dyDescent="0.3">
      <c r="J19" s="13"/>
      <c r="K19" s="13"/>
      <c r="L19" s="13"/>
    </row>
  </sheetData>
  <mergeCells count="19">
    <mergeCell ref="A15:B15"/>
    <mergeCell ref="F15:H15"/>
    <mergeCell ref="F16:H16"/>
    <mergeCell ref="F17:H17"/>
    <mergeCell ref="A12:C12"/>
    <mergeCell ref="F12:I12"/>
    <mergeCell ref="A13:B13"/>
    <mergeCell ref="F13:H13"/>
    <mergeCell ref="A14:B14"/>
    <mergeCell ref="F14:H14"/>
    <mergeCell ref="J1:J2"/>
    <mergeCell ref="A1:A2"/>
    <mergeCell ref="B1:B2"/>
    <mergeCell ref="D1:D2"/>
    <mergeCell ref="E1:E2"/>
    <mergeCell ref="F1:F2"/>
    <mergeCell ref="G1:G2"/>
    <mergeCell ref="H1:H2"/>
    <mergeCell ref="I1:I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A0279-8DF0-48EA-AA61-AACAEB31ED22}">
  <dimension ref="A1:O19"/>
  <sheetViews>
    <sheetView workbookViewId="0">
      <selection activeCell="E1" sqref="E1:E2"/>
    </sheetView>
  </sheetViews>
  <sheetFormatPr defaultRowHeight="14.4" x14ac:dyDescent="0.3"/>
  <cols>
    <col min="1" max="1" width="13.44140625" customWidth="1"/>
    <col min="2" max="2" width="8.5546875" customWidth="1"/>
    <col min="3" max="3" width="23.6640625" customWidth="1"/>
    <col min="4" max="4" width="13.5546875" customWidth="1"/>
    <col min="5" max="5" width="10.44140625" customWidth="1"/>
    <col min="6" max="6" width="10" customWidth="1"/>
    <col min="7" max="7" width="13.5546875" customWidth="1"/>
    <col min="8" max="9" width="13.77734375" customWidth="1"/>
    <col min="10" max="10" width="16.77734375" customWidth="1"/>
    <col min="11" max="12" width="12.21875" customWidth="1"/>
    <col min="13" max="13" width="29.77734375" customWidth="1"/>
    <col min="14" max="14" width="18.6640625" style="13" customWidth="1"/>
    <col min="15" max="15" width="18.21875" customWidth="1"/>
  </cols>
  <sheetData>
    <row r="1" spans="1:15" ht="14.55" customHeight="1" x14ac:dyDescent="0.3">
      <c r="A1" s="58" t="s">
        <v>3</v>
      </c>
      <c r="B1" s="66" t="s">
        <v>1</v>
      </c>
      <c r="C1" s="7" t="s">
        <v>2</v>
      </c>
      <c r="D1" s="58" t="s">
        <v>52</v>
      </c>
      <c r="E1" s="68" t="s">
        <v>78</v>
      </c>
      <c r="F1" s="58" t="s">
        <v>26</v>
      </c>
      <c r="G1" s="58" t="s">
        <v>41</v>
      </c>
      <c r="H1" s="58" t="s">
        <v>67</v>
      </c>
      <c r="I1" s="58" t="s">
        <v>28</v>
      </c>
      <c r="J1" s="58" t="s">
        <v>32</v>
      </c>
      <c r="K1" s="84" t="s">
        <v>47</v>
      </c>
      <c r="L1" s="9"/>
      <c r="M1" s="7" t="s">
        <v>13</v>
      </c>
      <c r="N1" s="8" t="s">
        <v>12</v>
      </c>
    </row>
    <row r="2" spans="1:15" ht="39.6" customHeight="1" x14ac:dyDescent="0.3">
      <c r="A2" s="59"/>
      <c r="B2" s="67"/>
      <c r="C2" s="3" t="s">
        <v>50</v>
      </c>
      <c r="D2" s="59"/>
      <c r="E2" s="69"/>
      <c r="F2" s="59"/>
      <c r="G2" s="59"/>
      <c r="H2" s="59"/>
      <c r="I2" s="59"/>
      <c r="J2" s="59"/>
      <c r="K2" s="84"/>
      <c r="L2" s="39"/>
      <c r="M2" s="13" t="s">
        <v>9</v>
      </c>
      <c r="N2" s="1">
        <v>0.25</v>
      </c>
    </row>
    <row r="3" spans="1:15" ht="22.05" customHeight="1" x14ac:dyDescent="0.3">
      <c r="A3" s="2" t="s">
        <v>4</v>
      </c>
      <c r="B3" s="6">
        <v>42491</v>
      </c>
      <c r="C3" s="5">
        <v>140130000</v>
      </c>
      <c r="D3" s="5">
        <v>115000000</v>
      </c>
      <c r="E3" s="15">
        <f t="shared" ref="E3:E9" si="0">(C3*(1-$N$4))/D3</f>
        <v>0.73111304347826089</v>
      </c>
      <c r="F3" s="15">
        <v>0.4</v>
      </c>
      <c r="G3" s="15">
        <f t="shared" ref="G3:G9" si="1">MIN(E3,1)*$N$2+MAX((1-E3),0)*$N$3</f>
        <v>0.29033304347826089</v>
      </c>
      <c r="H3" s="15">
        <f>MIN(E3,1)*$N$5+MAX((1-E3),0)*$N$6</f>
        <v>0.17688869565217391</v>
      </c>
      <c r="I3" s="11"/>
      <c r="J3" s="11"/>
      <c r="K3" s="10"/>
      <c r="L3" s="13"/>
      <c r="M3" s="13" t="s">
        <v>10</v>
      </c>
      <c r="N3" s="1">
        <v>0.4</v>
      </c>
    </row>
    <row r="4" spans="1:15" ht="32.1" customHeight="1" x14ac:dyDescent="0.3">
      <c r="A4" s="2"/>
      <c r="B4" s="6">
        <v>42856</v>
      </c>
      <c r="C4" s="5">
        <v>140460000</v>
      </c>
      <c r="D4" s="5">
        <v>105416666.66666666</v>
      </c>
      <c r="E4" s="15">
        <f t="shared" si="0"/>
        <v>0.79945612648221354</v>
      </c>
      <c r="F4" s="15">
        <v>0.4</v>
      </c>
      <c r="G4" s="15">
        <f t="shared" si="1"/>
        <v>0.280081581027668</v>
      </c>
      <c r="H4" s="15">
        <f t="shared" ref="H4:H9" si="2">MIN(E4,1)*$N$5+MAX((1-E4),0)*$N$6</f>
        <v>0.17005438735177864</v>
      </c>
      <c r="I4" s="11"/>
      <c r="J4" s="11"/>
      <c r="K4" s="10"/>
      <c r="L4" s="13"/>
      <c r="M4" s="13" t="s">
        <v>69</v>
      </c>
      <c r="N4" s="1">
        <v>0.4</v>
      </c>
    </row>
    <row r="5" spans="1:15" ht="49.05" customHeight="1" x14ac:dyDescent="0.3">
      <c r="A5" s="2"/>
      <c r="B5" s="6">
        <v>43221</v>
      </c>
      <c r="C5" s="5">
        <v>134360000</v>
      </c>
      <c r="D5" s="5">
        <v>95833333.333333328</v>
      </c>
      <c r="E5" s="15">
        <f t="shared" si="0"/>
        <v>0.84121043478260871</v>
      </c>
      <c r="F5" s="15">
        <v>0.4</v>
      </c>
      <c r="G5" s="15">
        <f t="shared" si="1"/>
        <v>0.2738184347826087</v>
      </c>
      <c r="H5" s="15">
        <f t="shared" si="2"/>
        <v>0.16587895652173912</v>
      </c>
      <c r="I5" s="11"/>
      <c r="J5" s="11"/>
      <c r="K5" s="10"/>
      <c r="L5" s="13"/>
      <c r="M5" s="13" t="s">
        <v>68</v>
      </c>
      <c r="N5" s="1">
        <v>0.15</v>
      </c>
    </row>
    <row r="6" spans="1:15" ht="42" customHeight="1" x14ac:dyDescent="0.3">
      <c r="A6" s="2" t="s">
        <v>11</v>
      </c>
      <c r="B6" s="6">
        <v>43586</v>
      </c>
      <c r="C6" s="5">
        <v>125210000</v>
      </c>
      <c r="D6" s="5">
        <v>86250000</v>
      </c>
      <c r="E6" s="15">
        <f t="shared" si="0"/>
        <v>0.87102608695652173</v>
      </c>
      <c r="F6" s="15">
        <v>0.4</v>
      </c>
      <c r="G6" s="15">
        <f t="shared" si="1"/>
        <v>0.26934608695652174</v>
      </c>
      <c r="H6" s="15">
        <f t="shared" si="2"/>
        <v>0.16289739130434783</v>
      </c>
      <c r="I6" s="11"/>
      <c r="J6" s="11"/>
      <c r="K6" s="10"/>
      <c r="L6" s="13"/>
      <c r="M6" s="13" t="s">
        <v>70</v>
      </c>
      <c r="N6" s="1">
        <v>0.25</v>
      </c>
    </row>
    <row r="7" spans="1:15" ht="22.05" customHeight="1" x14ac:dyDescent="0.3">
      <c r="A7" s="18" t="s">
        <v>0</v>
      </c>
      <c r="B7" s="17">
        <v>43952</v>
      </c>
      <c r="C7" s="11">
        <v>100420000</v>
      </c>
      <c r="D7" s="11">
        <v>76666666.666666657</v>
      </c>
      <c r="E7" s="15">
        <f t="shared" si="0"/>
        <v>0.78589565217391311</v>
      </c>
      <c r="F7" s="15">
        <v>0.4</v>
      </c>
      <c r="G7" s="15">
        <f t="shared" si="1"/>
        <v>0.28211565217391305</v>
      </c>
      <c r="H7" s="15">
        <f t="shared" si="2"/>
        <v>0.1714104347826087</v>
      </c>
      <c r="I7" s="11"/>
      <c r="J7" s="11"/>
      <c r="K7" s="10"/>
      <c r="L7" s="13"/>
      <c r="M7" s="40"/>
      <c r="N7" s="41"/>
    </row>
    <row r="8" spans="1:15" ht="22.05" customHeight="1" x14ac:dyDescent="0.3">
      <c r="A8" s="2" t="s">
        <v>8</v>
      </c>
      <c r="B8" s="6">
        <v>44317</v>
      </c>
      <c r="C8" s="5">
        <v>92810000</v>
      </c>
      <c r="D8" s="5">
        <v>76666666.666666657</v>
      </c>
      <c r="E8" s="15">
        <f t="shared" si="0"/>
        <v>0.72633913043478271</v>
      </c>
      <c r="F8" s="15">
        <v>0.4</v>
      </c>
      <c r="G8" s="15">
        <f t="shared" si="1"/>
        <v>0.29104913043478259</v>
      </c>
      <c r="H8" s="15">
        <f t="shared" si="2"/>
        <v>0.17736608695652173</v>
      </c>
      <c r="I8" s="11"/>
      <c r="J8" s="11">
        <v>1533333.3333333333</v>
      </c>
      <c r="K8" s="10"/>
      <c r="L8" s="13"/>
      <c r="M8" s="13"/>
      <c r="N8" s="1"/>
    </row>
    <row r="9" spans="1:15" ht="29.1" customHeight="1" x14ac:dyDescent="0.3">
      <c r="A9" s="2"/>
      <c r="B9" s="6">
        <v>44682</v>
      </c>
      <c r="C9" s="5">
        <v>86600000</v>
      </c>
      <c r="D9" s="5">
        <v>76666666.666666657</v>
      </c>
      <c r="E9" s="15">
        <f t="shared" si="0"/>
        <v>0.67773913043478273</v>
      </c>
      <c r="F9" s="15">
        <v>0.4</v>
      </c>
      <c r="G9" s="15">
        <f t="shared" si="1"/>
        <v>0.29833913043478261</v>
      </c>
      <c r="H9" s="15">
        <f t="shared" si="2"/>
        <v>0.1822260869565217</v>
      </c>
      <c r="I9" s="11"/>
      <c r="J9" s="11">
        <v>1341666.6666666665</v>
      </c>
      <c r="K9" s="10"/>
      <c r="L9" s="13"/>
      <c r="M9" s="13"/>
      <c r="N9" s="1"/>
    </row>
    <row r="10" spans="1:15" ht="30.6" customHeight="1" x14ac:dyDescent="0.3">
      <c r="A10" s="2" t="s">
        <v>7</v>
      </c>
      <c r="B10" s="6">
        <v>45047</v>
      </c>
      <c r="C10" s="5">
        <v>88180000</v>
      </c>
      <c r="D10" s="5">
        <v>0</v>
      </c>
      <c r="E10" s="14"/>
      <c r="F10" s="15"/>
      <c r="G10" s="15"/>
      <c r="H10" s="15"/>
      <c r="I10" s="15"/>
      <c r="J10" s="11">
        <v>75000000</v>
      </c>
      <c r="K10" s="11">
        <v>0</v>
      </c>
      <c r="L10" s="10">
        <f>MAX(D10-J10, 0)</f>
        <v>0</v>
      </c>
      <c r="M10" s="13"/>
    </row>
    <row r="11" spans="1:15" ht="20.25" customHeight="1" x14ac:dyDescent="0.3">
      <c r="A11" s="5"/>
      <c r="B11" s="5"/>
      <c r="C11" s="5"/>
      <c r="D11" s="5"/>
      <c r="E11" s="5"/>
      <c r="F11" s="5"/>
      <c r="G11" s="5"/>
      <c r="H11" s="5"/>
      <c r="I11" s="13"/>
      <c r="J11" s="13"/>
      <c r="K11" s="13"/>
      <c r="L11" s="13"/>
      <c r="M11" s="13"/>
      <c r="O11" s="1"/>
    </row>
    <row r="12" spans="1:15" ht="22.05" customHeight="1" x14ac:dyDescent="0.3">
      <c r="D12" s="5"/>
      <c r="I12" s="13"/>
      <c r="J12" s="13"/>
      <c r="K12" s="13"/>
      <c r="L12" s="13"/>
      <c r="M12" s="13"/>
    </row>
    <row r="13" spans="1:15" ht="25.5" customHeight="1" x14ac:dyDescent="0.3">
      <c r="A13" s="60" t="s">
        <v>14</v>
      </c>
      <c r="B13" s="61"/>
      <c r="C13" s="62"/>
      <c r="D13" s="5"/>
      <c r="E13" s="60" t="s">
        <v>20</v>
      </c>
      <c r="F13" s="61"/>
      <c r="G13" s="61"/>
      <c r="H13" s="62"/>
      <c r="I13" s="13"/>
      <c r="J13" s="13"/>
      <c r="K13" s="13"/>
      <c r="L13" s="13"/>
      <c r="M13" s="13"/>
    </row>
    <row r="14" spans="1:15" ht="22.05" customHeight="1" x14ac:dyDescent="0.3">
      <c r="A14" s="53" t="s">
        <v>15</v>
      </c>
      <c r="B14" s="54"/>
      <c r="C14" s="4">
        <f>(C3-J10)/C3</f>
        <v>0.46478270177692144</v>
      </c>
      <c r="D14" s="5"/>
      <c r="E14" s="63" t="s">
        <v>21</v>
      </c>
      <c r="F14" s="64"/>
      <c r="G14" s="65"/>
      <c r="H14" s="12">
        <v>5.3400000000000003E-2</v>
      </c>
      <c r="I14" s="13"/>
      <c r="J14" s="13"/>
      <c r="K14" s="13"/>
      <c r="L14" s="13"/>
      <c r="M14" s="13"/>
    </row>
    <row r="15" spans="1:15" ht="22.05" customHeight="1" x14ac:dyDescent="0.3">
      <c r="A15" s="53" t="s">
        <v>17</v>
      </c>
      <c r="B15" s="54"/>
      <c r="C15" s="4">
        <f>(C6-J10)/C6</f>
        <v>0.40100630940020765</v>
      </c>
      <c r="D15" s="5"/>
      <c r="E15" s="55" t="s">
        <v>27</v>
      </c>
      <c r="F15" s="56"/>
      <c r="G15" s="57"/>
      <c r="H15" s="5">
        <f>(J10/(1+H14)^3)</f>
        <v>64162506.509185433</v>
      </c>
      <c r="I15" s="13"/>
      <c r="J15" s="13"/>
      <c r="K15" s="13"/>
      <c r="L15" s="13"/>
      <c r="M15" s="13"/>
    </row>
    <row r="16" spans="1:15" ht="22.05" customHeight="1" x14ac:dyDescent="0.3">
      <c r="A16" s="53" t="s">
        <v>16</v>
      </c>
      <c r="B16" s="54"/>
      <c r="C16" s="4">
        <f>(C10-J10)/C10</f>
        <v>0.14946699931957361</v>
      </c>
      <c r="D16" s="5"/>
      <c r="E16" s="55" t="s">
        <v>23</v>
      </c>
      <c r="F16" s="56"/>
      <c r="G16" s="57"/>
      <c r="H16" s="5">
        <f>(J8/(1+H14))+(J9/(1+H14)^2)+(K10/(1+H14)^3)</f>
        <v>2664692.3291848479</v>
      </c>
      <c r="I16" s="13"/>
      <c r="J16" s="13"/>
      <c r="K16" s="13"/>
      <c r="L16" s="13"/>
      <c r="M16" s="13"/>
    </row>
    <row r="17" spans="1:13" ht="27.6" customHeight="1" x14ac:dyDescent="0.3">
      <c r="A17" s="42"/>
      <c r="B17" s="43"/>
      <c r="C17" s="44"/>
      <c r="D17" s="5"/>
      <c r="E17" s="55" t="s">
        <v>22</v>
      </c>
      <c r="F17" s="56"/>
      <c r="G17" s="57"/>
      <c r="H17" s="5">
        <f>D7</f>
        <v>76666666.666666657</v>
      </c>
      <c r="I17" s="13"/>
      <c r="J17" s="13"/>
      <c r="K17" s="13"/>
      <c r="L17" s="13"/>
      <c r="M17" s="13"/>
    </row>
    <row r="18" spans="1:13" ht="45" customHeight="1" x14ac:dyDescent="0.3">
      <c r="D18" s="5"/>
      <c r="E18" s="55" t="s">
        <v>19</v>
      </c>
      <c r="F18" s="56"/>
      <c r="G18" s="57"/>
      <c r="H18" s="4">
        <f>1-((H16+H15)/H17)</f>
        <v>0.1283408847169093</v>
      </c>
      <c r="I18" s="13"/>
      <c r="J18" s="13"/>
      <c r="K18" s="13"/>
      <c r="L18" s="13"/>
      <c r="M18" s="13"/>
    </row>
    <row r="19" spans="1:13" x14ac:dyDescent="0.3">
      <c r="I19" s="13"/>
    </row>
  </sheetData>
  <mergeCells count="20">
    <mergeCell ref="E18:G18"/>
    <mergeCell ref="J1:J2"/>
    <mergeCell ref="A1:A2"/>
    <mergeCell ref="B1:B2"/>
    <mergeCell ref="D1:D2"/>
    <mergeCell ref="E1:E2"/>
    <mergeCell ref="F1:F2"/>
    <mergeCell ref="G1:G2"/>
    <mergeCell ref="H1:H2"/>
    <mergeCell ref="I1:I2"/>
    <mergeCell ref="E17:G17"/>
    <mergeCell ref="A13:C13"/>
    <mergeCell ref="A14:B14"/>
    <mergeCell ref="E14:G14"/>
    <mergeCell ref="A16:B16"/>
    <mergeCell ref="A15:B15"/>
    <mergeCell ref="E15:G15"/>
    <mergeCell ref="E16:G16"/>
    <mergeCell ref="K1:K2"/>
    <mergeCell ref="E13:H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85A1-AB6E-465B-B0FF-53CEEA79B8CB}">
  <dimension ref="A1:P18"/>
  <sheetViews>
    <sheetView workbookViewId="0">
      <selection activeCell="E1" sqref="E1:E2"/>
    </sheetView>
  </sheetViews>
  <sheetFormatPr defaultRowHeight="14.4" x14ac:dyDescent="0.3"/>
  <cols>
    <col min="1" max="1" width="12.5546875" customWidth="1"/>
    <col min="2" max="2" width="8.5546875" customWidth="1"/>
    <col min="3" max="3" width="23.21875" customWidth="1"/>
    <col min="4" max="4" width="13.44140625" customWidth="1"/>
    <col min="5" max="5" width="13.5546875" customWidth="1"/>
    <col min="6" max="6" width="10.44140625" customWidth="1"/>
    <col min="7" max="7" width="10" customWidth="1"/>
    <col min="8" max="8" width="13.5546875" customWidth="1"/>
    <col min="9" max="10" width="13.77734375" customWidth="1"/>
    <col min="11" max="11" width="16.77734375" customWidth="1"/>
    <col min="12" max="12" width="12.21875" customWidth="1"/>
    <col min="13" max="13" width="33.21875" customWidth="1"/>
    <col min="14" max="14" width="19.5546875" customWidth="1"/>
    <col min="15" max="15" width="17.109375" style="13" customWidth="1"/>
    <col min="16" max="16" width="18.21875" customWidth="1"/>
  </cols>
  <sheetData>
    <row r="1" spans="1:16" ht="14.55" customHeight="1" x14ac:dyDescent="0.3">
      <c r="A1" s="58" t="s">
        <v>3</v>
      </c>
      <c r="B1" s="66" t="s">
        <v>1</v>
      </c>
      <c r="C1" s="7" t="s">
        <v>2</v>
      </c>
      <c r="D1" s="58" t="s">
        <v>52</v>
      </c>
      <c r="E1" s="68" t="s">
        <v>78</v>
      </c>
      <c r="F1" s="58" t="s">
        <v>26</v>
      </c>
      <c r="G1" s="58" t="s">
        <v>41</v>
      </c>
      <c r="H1" s="58" t="s">
        <v>67</v>
      </c>
      <c r="I1" s="58" t="s">
        <v>31</v>
      </c>
      <c r="J1" s="58" t="s">
        <v>32</v>
      </c>
      <c r="K1" s="58" t="s">
        <v>47</v>
      </c>
      <c r="M1" s="7" t="s">
        <v>13</v>
      </c>
      <c r="N1" s="8" t="s">
        <v>12</v>
      </c>
      <c r="O1"/>
    </row>
    <row r="2" spans="1:16" ht="39" customHeight="1" x14ac:dyDescent="0.3">
      <c r="A2" s="59"/>
      <c r="B2" s="67"/>
      <c r="C2" s="3" t="s">
        <v>50</v>
      </c>
      <c r="D2" s="59"/>
      <c r="E2" s="69"/>
      <c r="F2" s="59"/>
      <c r="G2" s="59"/>
      <c r="H2" s="59"/>
      <c r="I2" s="59"/>
      <c r="J2" s="59"/>
      <c r="K2" s="59"/>
      <c r="M2" s="13" t="s">
        <v>9</v>
      </c>
      <c r="N2" s="1">
        <v>0.25</v>
      </c>
      <c r="O2"/>
    </row>
    <row r="3" spans="1:16" ht="22.05" customHeight="1" x14ac:dyDescent="0.3">
      <c r="A3" s="2" t="s">
        <v>4</v>
      </c>
      <c r="B3" s="6">
        <v>42491</v>
      </c>
      <c r="C3" s="5">
        <v>140130000</v>
      </c>
      <c r="D3" s="5">
        <v>115000000</v>
      </c>
      <c r="E3" s="15">
        <f>(C3*(1-$N$4))/D3</f>
        <v>0.73111304347826089</v>
      </c>
      <c r="F3" s="15">
        <v>0.4</v>
      </c>
      <c r="G3" s="15">
        <f>MIN(E3,1)*$N$2+MAX((1-E3),0)*$N$3</f>
        <v>0.29033304347826089</v>
      </c>
      <c r="H3" s="15">
        <f>MIN(E3,1)*$N$5+MAX((1-E3),0)*$N$6</f>
        <v>0.17688869565217391</v>
      </c>
      <c r="I3" s="11"/>
      <c r="J3" s="11"/>
      <c r="M3" s="13" t="s">
        <v>10</v>
      </c>
      <c r="N3" s="1">
        <v>0.4</v>
      </c>
      <c r="O3"/>
    </row>
    <row r="4" spans="1:16" ht="32.1" customHeight="1" x14ac:dyDescent="0.3">
      <c r="A4" s="2"/>
      <c r="B4" s="6">
        <v>42856</v>
      </c>
      <c r="C4" s="5">
        <v>140460000</v>
      </c>
      <c r="D4" s="5">
        <v>105416666.66666666</v>
      </c>
      <c r="E4" s="15">
        <f>(C4*(1-$N$4))/D4</f>
        <v>0.79945612648221354</v>
      </c>
      <c r="F4" s="15">
        <v>0.4</v>
      </c>
      <c r="G4" s="15">
        <f t="shared" ref="G4:G7" si="0">MIN(E4,1)*$N$2+MAX((1-E4),0)*$N$3</f>
        <v>0.280081581027668</v>
      </c>
      <c r="H4" s="15">
        <f t="shared" ref="H4:H8" si="1">MIN(E4,1)*$N$5+MAX((1-E4),0)*$N$6</f>
        <v>0.17005438735177864</v>
      </c>
      <c r="I4" s="11"/>
      <c r="J4" s="11"/>
      <c r="M4" s="13" t="s">
        <v>69</v>
      </c>
      <c r="N4" s="1">
        <v>0.4</v>
      </c>
      <c r="O4"/>
    </row>
    <row r="5" spans="1:16" ht="31.5" customHeight="1" x14ac:dyDescent="0.3">
      <c r="A5" s="2"/>
      <c r="B5" s="6">
        <v>43221</v>
      </c>
      <c r="C5" s="5">
        <v>134360000</v>
      </c>
      <c r="D5" s="5">
        <v>95833333.333333328</v>
      </c>
      <c r="E5" s="15">
        <f>(C5*(1-$N$4))/D5</f>
        <v>0.84121043478260871</v>
      </c>
      <c r="F5" s="15">
        <v>0.4</v>
      </c>
      <c r="G5" s="15">
        <f t="shared" si="0"/>
        <v>0.2738184347826087</v>
      </c>
      <c r="H5" s="15">
        <f t="shared" si="1"/>
        <v>0.16587895652173912</v>
      </c>
      <c r="I5" s="11"/>
      <c r="J5" s="11"/>
      <c r="M5" s="13" t="s">
        <v>68</v>
      </c>
      <c r="N5" s="1">
        <v>0.15</v>
      </c>
      <c r="O5"/>
    </row>
    <row r="6" spans="1:16" ht="29.55" customHeight="1" x14ac:dyDescent="0.3">
      <c r="A6" s="2" t="s">
        <v>11</v>
      </c>
      <c r="B6" s="6">
        <v>43586</v>
      </c>
      <c r="C6" s="5">
        <v>125210000</v>
      </c>
      <c r="D6" s="5">
        <v>86250000</v>
      </c>
      <c r="E6" s="15">
        <f>(C6*(1-$N$4))/D6</f>
        <v>0.87102608695652173</v>
      </c>
      <c r="F6" s="15">
        <v>0.4</v>
      </c>
      <c r="G6" s="15">
        <f t="shared" si="0"/>
        <v>0.26934608695652174</v>
      </c>
      <c r="H6" s="15">
        <f t="shared" si="1"/>
        <v>0.16289739130434783</v>
      </c>
      <c r="I6" s="11"/>
      <c r="J6" s="11"/>
      <c r="M6" s="13" t="s">
        <v>70</v>
      </c>
      <c r="N6" s="1">
        <v>0.25</v>
      </c>
      <c r="O6"/>
    </row>
    <row r="7" spans="1:16" ht="22.05" customHeight="1" x14ac:dyDescent="0.3">
      <c r="A7" s="18" t="s">
        <v>0</v>
      </c>
      <c r="B7" s="17">
        <v>43952</v>
      </c>
      <c r="C7" s="11">
        <v>100420000</v>
      </c>
      <c r="D7" s="11">
        <v>76666666.666666657</v>
      </c>
      <c r="E7" s="15">
        <f>(C7*(1-$N$4))/D7</f>
        <v>0.78589565217391311</v>
      </c>
      <c r="F7" s="15">
        <v>0.4</v>
      </c>
      <c r="G7" s="15">
        <f t="shared" si="0"/>
        <v>0.28211565217391305</v>
      </c>
      <c r="H7" s="15">
        <f t="shared" si="1"/>
        <v>0.1714104347826087</v>
      </c>
      <c r="I7" s="11"/>
      <c r="J7" s="11"/>
      <c r="M7" s="40"/>
      <c r="N7" s="41"/>
      <c r="O7"/>
    </row>
    <row r="8" spans="1:16" ht="22.05" customHeight="1" x14ac:dyDescent="0.3">
      <c r="A8" s="2" t="s">
        <v>5</v>
      </c>
      <c r="B8" s="6">
        <v>44317</v>
      </c>
      <c r="C8" s="5">
        <v>92810000</v>
      </c>
      <c r="D8" s="5">
        <f>D7-I8-K8</f>
        <v>0</v>
      </c>
      <c r="E8" s="14" t="s">
        <v>18</v>
      </c>
      <c r="F8" s="14" t="s">
        <v>18</v>
      </c>
      <c r="G8" s="14" t="s">
        <v>18</v>
      </c>
      <c r="H8" s="98" t="s">
        <v>18</v>
      </c>
      <c r="I8" s="11">
        <f>0.95*D7</f>
        <v>72833333.333333313</v>
      </c>
      <c r="J8" s="11">
        <v>1533333</v>
      </c>
      <c r="K8" s="27">
        <f>D7-I8</f>
        <v>3833333.3333333433</v>
      </c>
      <c r="M8" s="13"/>
      <c r="N8" s="1"/>
      <c r="O8"/>
    </row>
    <row r="9" spans="1:16" ht="30.6" customHeight="1" x14ac:dyDescent="0.3">
      <c r="A9" s="5"/>
      <c r="B9" s="5"/>
      <c r="C9" s="5"/>
      <c r="D9" s="5"/>
      <c r="E9" s="5"/>
      <c r="F9" s="5"/>
      <c r="G9" s="5"/>
      <c r="H9" s="5"/>
      <c r="I9" s="5"/>
      <c r="J9" s="15"/>
      <c r="K9" s="11"/>
      <c r="L9" s="11"/>
      <c r="P9" s="1"/>
    </row>
    <row r="10" spans="1:16" ht="15" customHeight="1" x14ac:dyDescent="0.3">
      <c r="A10" s="5"/>
      <c r="B10" s="5"/>
      <c r="C10" s="5"/>
      <c r="D10" s="5"/>
      <c r="E10" s="5"/>
      <c r="F10" s="5"/>
      <c r="G10" s="5"/>
      <c r="H10" s="5"/>
      <c r="I10" s="5"/>
      <c r="J10" s="5"/>
      <c r="K10" s="5"/>
    </row>
    <row r="11" spans="1:16" ht="27.75" customHeight="1" x14ac:dyDescent="0.3">
      <c r="A11" s="60" t="s">
        <v>14</v>
      </c>
      <c r="B11" s="61"/>
      <c r="C11" s="62"/>
      <c r="D11" s="5" t="s">
        <v>29</v>
      </c>
      <c r="E11" s="5"/>
      <c r="F11" s="5"/>
      <c r="G11" s="60" t="s">
        <v>20</v>
      </c>
      <c r="H11" s="61"/>
      <c r="I11" s="61"/>
      <c r="J11" s="62"/>
    </row>
    <row r="12" spans="1:16" ht="32.25" customHeight="1" x14ac:dyDescent="0.3">
      <c r="A12" s="53" t="s">
        <v>15</v>
      </c>
      <c r="B12" s="54"/>
      <c r="C12" s="4">
        <f>(C3-C8)/C3</f>
        <v>0.33768643402554771</v>
      </c>
      <c r="D12" s="5"/>
      <c r="E12" s="5"/>
      <c r="F12" s="5"/>
      <c r="G12" s="63" t="s">
        <v>21</v>
      </c>
      <c r="H12" s="64"/>
      <c r="I12" s="65"/>
      <c r="J12" s="12">
        <v>5.3400000000000003E-2</v>
      </c>
    </row>
    <row r="13" spans="1:16" ht="22.05" customHeight="1" x14ac:dyDescent="0.3">
      <c r="A13" s="53" t="s">
        <v>17</v>
      </c>
      <c r="B13" s="54"/>
      <c r="C13" s="4">
        <f>(C6-C8)/C6</f>
        <v>0.25876527433911028</v>
      </c>
      <c r="D13" s="5"/>
      <c r="E13" s="5"/>
      <c r="F13" s="5"/>
      <c r="G13" s="55" t="s">
        <v>57</v>
      </c>
      <c r="H13" s="56"/>
      <c r="I13" s="57"/>
      <c r="J13" s="5">
        <f>(I8/(1+J12)^1)</f>
        <v>69141193.595342055</v>
      </c>
      <c r="P13" s="1"/>
    </row>
    <row r="14" spans="1:16" ht="30" customHeight="1" x14ac:dyDescent="0.3">
      <c r="A14" s="53" t="s">
        <v>16</v>
      </c>
      <c r="B14" s="54"/>
      <c r="C14" s="16" t="s">
        <v>18</v>
      </c>
      <c r="D14" s="28" t="s">
        <v>49</v>
      </c>
      <c r="E14" s="5"/>
      <c r="F14" s="5"/>
      <c r="G14" s="55" t="s">
        <v>23</v>
      </c>
      <c r="H14" s="56"/>
      <c r="I14" s="57"/>
      <c r="J14" s="5">
        <f>(J8/(1+J12))</f>
        <v>1455603.7592557434</v>
      </c>
    </row>
    <row r="15" spans="1:16" ht="25.05" customHeight="1" x14ac:dyDescent="0.3">
      <c r="A15" s="4"/>
      <c r="B15" s="4"/>
      <c r="C15" s="4"/>
      <c r="D15" s="5"/>
      <c r="E15" s="5"/>
      <c r="F15" s="5"/>
      <c r="G15" s="55" t="s">
        <v>22</v>
      </c>
      <c r="H15" s="56"/>
      <c r="I15" s="57"/>
      <c r="J15" s="5">
        <f>D7</f>
        <v>76666666.666666657</v>
      </c>
    </row>
    <row r="16" spans="1:16" ht="22.05" customHeight="1" x14ac:dyDescent="0.3">
      <c r="A16" s="5"/>
      <c r="B16" s="5"/>
      <c r="C16" s="5"/>
      <c r="D16" s="5"/>
      <c r="E16" s="5"/>
      <c r="F16" s="5"/>
      <c r="G16" s="85" t="s">
        <v>19</v>
      </c>
      <c r="H16" s="86"/>
      <c r="I16" s="87"/>
      <c r="J16" s="4">
        <f>1-((J14+J13)/J15)</f>
        <v>7.9172208418289536E-2</v>
      </c>
    </row>
    <row r="17" spans="4:9" ht="27.6" customHeight="1" x14ac:dyDescent="0.3">
      <c r="D17" s="5"/>
      <c r="E17" s="5"/>
      <c r="F17" s="5"/>
      <c r="G17" s="5"/>
      <c r="H17" s="5"/>
      <c r="I17" s="5"/>
    </row>
    <row r="18" spans="4:9" ht="45" customHeight="1" x14ac:dyDescent="0.3"/>
  </sheetData>
  <mergeCells count="20">
    <mergeCell ref="G16:I16"/>
    <mergeCell ref="G11:J11"/>
    <mergeCell ref="G12:I12"/>
    <mergeCell ref="G13:I13"/>
    <mergeCell ref="G14:I14"/>
    <mergeCell ref="G15:I15"/>
    <mergeCell ref="A14:B14"/>
    <mergeCell ref="A11:C11"/>
    <mergeCell ref="A12:B12"/>
    <mergeCell ref="A13:B13"/>
    <mergeCell ref="K1:K2"/>
    <mergeCell ref="J1:J2"/>
    <mergeCell ref="A1:A2"/>
    <mergeCell ref="B1:B2"/>
    <mergeCell ref="D1:D2"/>
    <mergeCell ref="E1:E2"/>
    <mergeCell ref="F1:F2"/>
    <mergeCell ref="G1:G2"/>
    <mergeCell ref="H1:H2"/>
    <mergeCell ref="I1: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2D167-B837-4B4F-A15D-23EBD5F8E12F}">
  <dimension ref="A1:O17"/>
  <sheetViews>
    <sheetView workbookViewId="0">
      <selection activeCell="L19" sqref="L19"/>
    </sheetView>
  </sheetViews>
  <sheetFormatPr defaultRowHeight="14.4" x14ac:dyDescent="0.3"/>
  <cols>
    <col min="1" max="1" width="18.5546875" customWidth="1"/>
    <col min="2" max="2" width="18.44140625" customWidth="1"/>
    <col min="3" max="3" width="17" customWidth="1"/>
    <col min="4" max="4" width="15.21875" customWidth="1"/>
    <col min="5" max="5" width="12.44140625" customWidth="1"/>
    <col min="6" max="6" width="15.44140625" customWidth="1"/>
    <col min="7" max="7" width="12.21875" customWidth="1"/>
  </cols>
  <sheetData>
    <row r="1" spans="1:15" ht="15" customHeight="1" x14ac:dyDescent="0.3">
      <c r="A1" s="69" t="s">
        <v>59</v>
      </c>
      <c r="B1" s="90"/>
      <c r="C1" s="90"/>
      <c r="D1" s="91" t="s">
        <v>60</v>
      </c>
      <c r="E1" s="92"/>
      <c r="F1" s="92"/>
      <c r="G1" s="92"/>
      <c r="H1" s="31"/>
      <c r="I1" s="70" t="s">
        <v>58</v>
      </c>
      <c r="J1" s="71"/>
      <c r="K1" s="71"/>
      <c r="L1" s="71"/>
      <c r="M1" s="71"/>
      <c r="N1" s="71"/>
      <c r="O1" s="72"/>
    </row>
    <row r="2" spans="1:15" ht="15" customHeight="1" x14ac:dyDescent="0.3">
      <c r="A2" s="58" t="s">
        <v>26</v>
      </c>
      <c r="B2" s="58" t="s">
        <v>41</v>
      </c>
      <c r="C2" s="58" t="s">
        <v>67</v>
      </c>
      <c r="D2" s="88" t="s">
        <v>8</v>
      </c>
      <c r="E2" s="88" t="s">
        <v>72</v>
      </c>
      <c r="F2" s="88" t="s">
        <v>61</v>
      </c>
      <c r="G2" s="93" t="s">
        <v>5</v>
      </c>
      <c r="H2" s="13"/>
      <c r="I2" s="95" t="s">
        <v>73</v>
      </c>
      <c r="J2" s="96"/>
      <c r="K2" s="96"/>
      <c r="L2" s="96"/>
      <c r="M2" s="96"/>
      <c r="N2" s="96"/>
      <c r="O2" s="97"/>
    </row>
    <row r="3" spans="1:15" ht="24" customHeight="1" x14ac:dyDescent="0.3">
      <c r="A3" s="59"/>
      <c r="B3" s="59"/>
      <c r="C3" s="59"/>
      <c r="D3" s="89"/>
      <c r="E3" s="89"/>
      <c r="F3" s="89"/>
      <c r="G3" s="94"/>
      <c r="H3" s="13"/>
      <c r="I3" s="95"/>
      <c r="J3" s="96"/>
      <c r="K3" s="96"/>
      <c r="L3" s="96"/>
      <c r="M3" s="96"/>
      <c r="N3" s="96"/>
      <c r="O3" s="97"/>
    </row>
    <row r="4" spans="1:15" x14ac:dyDescent="0.3">
      <c r="A4" s="30">
        <f>Restructuring!F3</f>
        <v>0.4</v>
      </c>
      <c r="B4" s="30">
        <f>Restructuring!G3</f>
        <v>0.29033304347826089</v>
      </c>
      <c r="C4" s="30">
        <f>Restructuring!H3</f>
        <v>0.17688869565217391</v>
      </c>
      <c r="D4" s="32">
        <f>Restructuring!I18</f>
        <v>7.947422747500732E-2</v>
      </c>
      <c r="E4" s="32">
        <f>'Consensual Sale'!I17</f>
        <v>6.4059352108692402E-2</v>
      </c>
      <c r="F4" s="33">
        <f>'Enforcement Led Collateral Sale'!H18</f>
        <v>0.1283408847169093</v>
      </c>
      <c r="G4" s="33">
        <f>'Loan Sale'!J16</f>
        <v>7.9172208418289536E-2</v>
      </c>
      <c r="H4" s="13"/>
      <c r="I4" s="95"/>
      <c r="J4" s="96"/>
      <c r="K4" s="96"/>
      <c r="L4" s="96"/>
      <c r="M4" s="96"/>
      <c r="N4" s="96"/>
      <c r="O4" s="97"/>
    </row>
    <row r="5" spans="1:15" x14ac:dyDescent="0.3">
      <c r="F5" s="13"/>
      <c r="G5" s="13"/>
      <c r="H5" s="13"/>
      <c r="I5" s="95"/>
      <c r="J5" s="96"/>
      <c r="K5" s="96"/>
      <c r="L5" s="96"/>
      <c r="M5" s="96"/>
      <c r="N5" s="96"/>
      <c r="O5" s="97"/>
    </row>
    <row r="6" spans="1:15" x14ac:dyDescent="0.3">
      <c r="F6" s="13"/>
      <c r="G6" s="13"/>
      <c r="H6" s="13"/>
      <c r="I6" s="95"/>
      <c r="J6" s="96"/>
      <c r="K6" s="96"/>
      <c r="L6" s="96"/>
      <c r="M6" s="96"/>
      <c r="N6" s="96"/>
      <c r="O6" s="97"/>
    </row>
    <row r="7" spans="1:15" x14ac:dyDescent="0.3">
      <c r="F7" s="13"/>
      <c r="G7" s="13"/>
      <c r="H7" s="13"/>
      <c r="I7" s="95"/>
      <c r="J7" s="96"/>
      <c r="K7" s="96"/>
      <c r="L7" s="96"/>
      <c r="M7" s="96"/>
      <c r="N7" s="96"/>
      <c r="O7" s="97"/>
    </row>
    <row r="8" spans="1:15" x14ac:dyDescent="0.3">
      <c r="I8" s="45"/>
      <c r="J8" s="46"/>
      <c r="K8" s="46"/>
      <c r="L8" s="46"/>
      <c r="M8" s="46"/>
      <c r="N8" s="46"/>
      <c r="O8" s="47"/>
    </row>
    <row r="10" spans="1:15" ht="1.05" customHeight="1" x14ac:dyDescent="0.3">
      <c r="A10" s="35" t="s">
        <v>64</v>
      </c>
      <c r="B10" s="35" t="s">
        <v>65</v>
      </c>
      <c r="C10" s="35" t="s">
        <v>60</v>
      </c>
    </row>
    <row r="11" spans="1:15" ht="1.05" customHeight="1" x14ac:dyDescent="0.3">
      <c r="A11" s="35" t="str">
        <f>A2</f>
        <v>F-IRB LGD if CRR3 199(6)(d) is not met</v>
      </c>
      <c r="B11" s="36">
        <f>A4</f>
        <v>0.4</v>
      </c>
      <c r="C11" s="36"/>
    </row>
    <row r="12" spans="1:15" ht="1.05" customHeight="1" x14ac:dyDescent="0.3">
      <c r="A12" s="35" t="str">
        <f>B2</f>
        <v>F-IRB LGD</v>
      </c>
      <c r="B12" s="36">
        <f>B4</f>
        <v>0.29033304347826089</v>
      </c>
      <c r="C12" s="36"/>
    </row>
    <row r="13" spans="1:15" ht="1.05" customHeight="1" x14ac:dyDescent="0.3">
      <c r="A13" s="35" t="str">
        <f>C2</f>
        <v>A-IRB Input Floor</v>
      </c>
      <c r="B13" s="36">
        <f>C4</f>
        <v>0.17688869565217391</v>
      </c>
      <c r="C13" s="36"/>
    </row>
    <row r="14" spans="1:15" ht="1.05" customHeight="1" x14ac:dyDescent="0.3">
      <c r="A14" s="35" t="str">
        <f>D2</f>
        <v>Restructuring</v>
      </c>
      <c r="B14" s="36"/>
      <c r="C14" s="36">
        <f>D4</f>
        <v>7.947422747500732E-2</v>
      </c>
    </row>
    <row r="15" spans="1:15" ht="1.05" customHeight="1" x14ac:dyDescent="0.3">
      <c r="A15" s="35" t="str">
        <f>E2</f>
        <v>Consensual Sale</v>
      </c>
      <c r="B15" s="36"/>
      <c r="C15" s="36">
        <f>E4</f>
        <v>6.4059352108692402E-2</v>
      </c>
    </row>
    <row r="16" spans="1:15" ht="1.05" customHeight="1" x14ac:dyDescent="0.3">
      <c r="A16" s="35" t="str">
        <f>F2</f>
        <v>Enforcement Led Collateral Sale</v>
      </c>
      <c r="B16" s="36"/>
      <c r="C16" s="36">
        <f>F4</f>
        <v>0.1283408847169093</v>
      </c>
    </row>
    <row r="17" spans="1:3" ht="1.05" customHeight="1" x14ac:dyDescent="0.3">
      <c r="A17" s="35" t="str">
        <f>G2</f>
        <v>Loan Sale</v>
      </c>
      <c r="B17" s="36"/>
      <c r="C17" s="36">
        <f>G4</f>
        <v>7.9172208418289536E-2</v>
      </c>
    </row>
  </sheetData>
  <mergeCells count="11">
    <mergeCell ref="I1:O1"/>
    <mergeCell ref="D2:D3"/>
    <mergeCell ref="A1:C1"/>
    <mergeCell ref="A2:A3"/>
    <mergeCell ref="B2:B3"/>
    <mergeCell ref="C2:C3"/>
    <mergeCell ref="D1:G1"/>
    <mergeCell ref="E2:E3"/>
    <mergeCell ref="F2:F3"/>
    <mergeCell ref="G2:G3"/>
    <mergeCell ref="I2:O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fe2d5c-fcc1-4c39-a993-a34c4773a527" xsi:nil="true"/>
    <lcf76f155ced4ddcb4097134ff3c332f xmlns="eac20854-439c-4dfd-9f01-b8adea5ca7c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085BA060053447845671C5A79CE8AF" ma:contentTypeVersion="13" ma:contentTypeDescription="Create a new document." ma:contentTypeScope="" ma:versionID="357cddd338ca07eb96803f9f2ead2421">
  <xsd:schema xmlns:xsd="http://www.w3.org/2001/XMLSchema" xmlns:xs="http://www.w3.org/2001/XMLSchema" xmlns:p="http://schemas.microsoft.com/office/2006/metadata/properties" xmlns:ns2="eac20854-439c-4dfd-9f01-b8adea5ca7c7" xmlns:ns3="a1fe2d5c-fcc1-4c39-a993-a34c4773a527" targetNamespace="http://schemas.microsoft.com/office/2006/metadata/properties" ma:root="true" ma:fieldsID="9439c0830091551a97ec62ac64c573e0" ns2:_="" ns3:_="">
    <xsd:import namespace="eac20854-439c-4dfd-9f01-b8adea5ca7c7"/>
    <xsd:import namespace="a1fe2d5c-fcc1-4c39-a993-a34c4773a52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20854-439c-4dfd-9f01-b8adea5ca7c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a4ac93e-fc8b-493c-8f22-f53c6ff5b47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fe2d5c-fcc1-4c39-a993-a34c4773a52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3d7ccf0-7845-468b-b3ff-c5bad40c777c}" ma:internalName="TaxCatchAll" ma:showField="CatchAllData" ma:web="a1fe2d5c-fcc1-4c39-a993-a34c4773a5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EDDDCA-A198-49BB-BC39-4E2EB8BC7E6D}">
  <ds:schemaRefs>
    <ds:schemaRef ds:uri="http://schemas.microsoft.com/office/2006/metadata/properties"/>
    <ds:schemaRef ds:uri="http://schemas.microsoft.com/office/infopath/2007/PartnerControls"/>
    <ds:schemaRef ds:uri="a1fe2d5c-fcc1-4c39-a993-a34c4773a527"/>
    <ds:schemaRef ds:uri="eac20854-439c-4dfd-9f01-b8adea5ca7c7"/>
  </ds:schemaRefs>
</ds:datastoreItem>
</file>

<file path=customXml/itemProps2.xml><?xml version="1.0" encoding="utf-8"?>
<ds:datastoreItem xmlns:ds="http://schemas.openxmlformats.org/officeDocument/2006/customXml" ds:itemID="{05989135-AE74-4ACE-838C-80D8E4E66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20854-439c-4dfd-9f01-b8adea5ca7c7"/>
    <ds:schemaRef ds:uri="a1fe2d5c-fcc1-4c39-a993-a34c4773a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7F3A53-EAEB-4A7A-8ECC-9AE936F5ED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Front Page</vt:lpstr>
      <vt:lpstr>Field Descriptions</vt:lpstr>
      <vt:lpstr>Restructuring</vt:lpstr>
      <vt:lpstr>Consensual Sale</vt:lpstr>
      <vt:lpstr>Enforcement Led Collateral Sale</vt:lpstr>
      <vt:lpstr>Loan Sale</vt:lpstr>
      <vt:lpstr>LGD Comparison</vt:lpstr>
    </vt:vector>
  </TitlesOfParts>
  <Company>KfW Bankengruppe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 Cornelia</dc:creator>
  <cp:lastModifiedBy>Nina Brumma</cp:lastModifiedBy>
  <dcterms:created xsi:type="dcterms:W3CDTF">2026-06-05T07:21:21Z</dcterms:created>
  <dcterms:modified xsi:type="dcterms:W3CDTF">2026-06-30T19:09:54Z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1296cb-daaa-4831-9a4b-d786ffd3b5af_Enabled">
    <vt:lpwstr>true</vt:lpwstr>
  </property>
  <property fmtid="{D5CDD505-2E9C-101B-9397-08002B2CF9AE}" pid="3" name="MSIP_Label_841296cb-daaa-4831-9a4b-d786ffd3b5af_SetDate">
    <vt:lpwstr>2026-06-05T10:48:45Z</vt:lpwstr>
  </property>
  <property fmtid="{D5CDD505-2E9C-101B-9397-08002B2CF9AE}" pid="4" name="MSIP_Label_841296cb-daaa-4831-9a4b-d786ffd3b5af_Method">
    <vt:lpwstr>Privileged</vt:lpwstr>
  </property>
  <property fmtid="{D5CDD505-2E9C-101B-9397-08002B2CF9AE}" pid="5" name="MSIP_Label_841296cb-daaa-4831-9a4b-d786ffd3b5af_Name">
    <vt:lpwstr>public_</vt:lpwstr>
  </property>
  <property fmtid="{D5CDD505-2E9C-101B-9397-08002B2CF9AE}" pid="6" name="MSIP_Label_841296cb-daaa-4831-9a4b-d786ffd3b5af_SiteId">
    <vt:lpwstr>05ca8f81-10c4-490e-9c8b-77dad30ce21b</vt:lpwstr>
  </property>
  <property fmtid="{D5CDD505-2E9C-101B-9397-08002B2CF9AE}" pid="7" name="MSIP_Label_841296cb-daaa-4831-9a4b-d786ffd3b5af_ActionId">
    <vt:lpwstr>e8b5e1d9-190d-431f-aa8f-705437d4afa0</vt:lpwstr>
  </property>
  <property fmtid="{D5CDD505-2E9C-101B-9397-08002B2CF9AE}" pid="8" name="MSIP_Label_841296cb-daaa-4831-9a4b-d786ffd3b5af_ContentBits">
    <vt:lpwstr>0</vt:lpwstr>
  </property>
  <property fmtid="{D5CDD505-2E9C-101B-9397-08002B2CF9AE}" pid="9" name="MSIP_Label_841296cb-daaa-4831-9a4b-d786ffd3b5af_Tag">
    <vt:lpwstr>10, 0, 1, 1</vt:lpwstr>
  </property>
  <property fmtid="{D5CDD505-2E9C-101B-9397-08002B2CF9AE}" pid="10" name="ContentTypeId">
    <vt:lpwstr>0x010100FB085BA060053447845671C5A79CE8AF</vt:lpwstr>
  </property>
  <property fmtid="{D5CDD505-2E9C-101B-9397-08002B2CF9AE}" pid="11" name="MediaServiceImageTags">
    <vt:lpwstr/>
  </property>
</Properties>
</file>